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060" tabRatio="829"/>
  </bookViews>
  <sheets>
    <sheet name="采购部分汇总" sheetId="56" r:id="rId1"/>
    <sheet name="采购部分医用隔帘" sheetId="24" r:id="rId2"/>
    <sheet name="采购部分拉帘" sheetId="45" r:id="rId3"/>
    <sheet name="采购部分纱帘" sheetId="58" r:id="rId4"/>
    <sheet name="采购部分遮光卷帘" sheetId="46" r:id="rId5"/>
    <sheet name="采购部分百叶帘" sheetId="5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xlnm._FilterDatabase" localSheetId="0" hidden="1">采购部分汇总!$A$5:$I$22</definedName>
    <definedName name="_xlnm._FilterDatabase" localSheetId="1" hidden="1">采购部分医用隔帘!$A$1:$H$35</definedName>
    <definedName name="_xlnm._FilterDatabase" localSheetId="2" hidden="1">采购部分拉帘!$A$1:$H$59</definedName>
    <definedName name="_xlnm._FilterDatabase" localSheetId="3" hidden="1">采购部分纱帘!$A$1:$H$6</definedName>
    <definedName name="_xlnm._FilterDatabase" localSheetId="4" hidden="1">采购部分遮光卷帘!$A$1:$H$429</definedName>
    <definedName name="_xlnm._FilterDatabase" localSheetId="5" hidden="1">采购部分百叶帘!$A$1:$H$64</definedName>
    <definedName name="____________________________________________________________N81020">[1]地梁!#REF!</definedName>
    <definedName name="___________________________________________________________N81020">[1]地梁!#REF!</definedName>
    <definedName name="__________________________________________________________N81020">[2]地梁!#REF!</definedName>
    <definedName name="_________________________________________________________N81020">[1]地梁!#REF!</definedName>
    <definedName name="________________________________________________________N81020" localSheetId="2">[3]地梁!#REF!</definedName>
    <definedName name="________________________________________________________N81020" localSheetId="3">[3]地梁!#REF!</definedName>
    <definedName name="________________________________________________________N81020" localSheetId="4">[3]地梁!#REF!</definedName>
    <definedName name="________________________________________________________N81020">[3]地梁!#REF!</definedName>
    <definedName name="_______________________________________________________N81020">[4]地梁!#REF!</definedName>
    <definedName name="______________________________________________________N81020">[2]地梁!#REF!</definedName>
    <definedName name="_____________________________________________________N81020">[5]地梁!#REF!</definedName>
    <definedName name="____________________________________________________N81020">[1]地梁!#REF!</definedName>
    <definedName name="________________________________________________N81020">[6]地梁!#REF!</definedName>
    <definedName name="_______________________________________________N81020">[4]地梁!#REF!</definedName>
    <definedName name="______________________________________________N81020">[4]地梁!#REF!</definedName>
    <definedName name="_____________________________________________N81020">[4]地梁!#REF!</definedName>
    <definedName name="____________________________________________N81020">[7]地梁!#REF!</definedName>
    <definedName name="___________________________________________N81020">[4]地梁!#REF!</definedName>
    <definedName name="__________________________________________N81020">[4]地梁!#REF!</definedName>
    <definedName name="_________________________________________N81020">[6]地梁!#REF!</definedName>
    <definedName name="________________________________________N81020">[6]地梁!#REF!</definedName>
    <definedName name="_______________________________________N81020">[6]地梁!#REF!</definedName>
    <definedName name="______________________________________N81020">[6]地梁!#REF!</definedName>
    <definedName name="_____________________________________N81020">[6]地梁!#REF!</definedName>
    <definedName name="____________________________________N81020">[6]地梁!#REF!</definedName>
    <definedName name="___________________________________N81020">[6]地梁!#REF!</definedName>
    <definedName name="__________________________________N81020">[6]地梁!#REF!</definedName>
    <definedName name="_________________________________N81020">[6]地梁!#REF!</definedName>
    <definedName name="________________________________N81020">[6]地梁!#REF!</definedName>
    <definedName name="_______________________________N81020">[6]地梁!#REF!</definedName>
    <definedName name="______________________________N81020">[6]地梁!#REF!</definedName>
    <definedName name="_____________________________N81020">[6]地梁!#REF!</definedName>
    <definedName name="____________________________N81020">[4]地梁!#REF!</definedName>
    <definedName name="___________________________N81020">[6]地梁!#REF!</definedName>
    <definedName name="__________________________N81020">[6]地梁!#REF!</definedName>
    <definedName name="_________________________N81020">[6]地梁!#REF!</definedName>
    <definedName name="________________________N81020">[6]地梁!#REF!</definedName>
    <definedName name="_______________________N81020">[4]地梁!#REF!</definedName>
    <definedName name="______________________N81020">[6]地梁!#REF!</definedName>
    <definedName name="_____________________N81020">[4]地梁!#REF!</definedName>
    <definedName name="____________________N81020">[6]地梁!#REF!</definedName>
    <definedName name="___________________N81020">[4]地梁!#REF!</definedName>
    <definedName name="________________N81020">[6]地梁!#REF!</definedName>
    <definedName name="______________N81020">[6]地梁!#REF!</definedName>
    <definedName name="____________N81020">[6]地梁!#REF!</definedName>
    <definedName name="__________N81020">[8]地梁!#REF!</definedName>
    <definedName name="_________QC1">[9]门窗表!#REF!</definedName>
    <definedName name="_________QC10">[9]门窗表!#REF!</definedName>
    <definedName name="_________QC11">[9]门窗表!#REF!</definedName>
    <definedName name="_________QC12">[9]门窗表!#REF!</definedName>
    <definedName name="_________QC13">[9]门窗表!#REF!</definedName>
    <definedName name="_________QC14">[9]门窗表!#REF!</definedName>
    <definedName name="_________QC15">[9]门窗表!#REF!</definedName>
    <definedName name="_________QC16">[9]门窗表!#REF!</definedName>
    <definedName name="_________QC2">[9]门窗表!#REF!</definedName>
    <definedName name="_________QC3">[9]门窗表!#REF!</definedName>
    <definedName name="_________QC4">[9]门窗表!#REF!</definedName>
    <definedName name="_________QC5">[9]门窗表!#REF!</definedName>
    <definedName name="_________QC6">[9]门窗表!#REF!</definedName>
    <definedName name="_________QC7">[9]门窗表!#REF!</definedName>
    <definedName name="_________QC8">[9]门窗表!#REF!</definedName>
    <definedName name="_________QC9">[9]门窗表!#REF!</definedName>
    <definedName name="_________QGM1">[9]门窗表!#REF!</definedName>
    <definedName name="_________QGM2">[9]门窗表!#REF!</definedName>
    <definedName name="_________QM1">[9]门窗表!#REF!</definedName>
    <definedName name="_________QM2">[9]门窗表!#REF!</definedName>
    <definedName name="_________QM3">[9]门窗表!#REF!</definedName>
    <definedName name="_________QM4">[9]门窗表!#REF!</definedName>
    <definedName name="_________QMC1">[9]门窗表!#REF!</definedName>
    <definedName name="_________QMQ1">[9]门窗表!#REF!</definedName>
    <definedName name="_________QMQ2">[9]门窗表!#REF!</definedName>
    <definedName name="_________QMQ3">[9]门窗表!#REF!</definedName>
    <definedName name="_________QQM1">[9]门窗表!#REF!</definedName>
    <definedName name="_________QQM2">[9]门窗表!#REF!</definedName>
    <definedName name="________QC1">[10]门窗表!#REF!</definedName>
    <definedName name="________QC10">[10]门窗表!#REF!</definedName>
    <definedName name="________QC11">[10]门窗表!#REF!</definedName>
    <definedName name="________QC12">[10]门窗表!#REF!</definedName>
    <definedName name="________QC13">[10]门窗表!#REF!</definedName>
    <definedName name="________QC14">[10]门窗表!#REF!</definedName>
    <definedName name="________QC15">[10]门窗表!#REF!</definedName>
    <definedName name="________QC16">[10]门窗表!#REF!</definedName>
    <definedName name="________QC2">[10]门窗表!#REF!</definedName>
    <definedName name="________QC3">[10]门窗表!#REF!</definedName>
    <definedName name="________QC4">[10]门窗表!#REF!</definedName>
    <definedName name="________QC5">[10]门窗表!#REF!</definedName>
    <definedName name="________QC6">[10]门窗表!#REF!</definedName>
    <definedName name="________QC7">[10]门窗表!#REF!</definedName>
    <definedName name="________QC8">[10]门窗表!#REF!</definedName>
    <definedName name="________QC9">[10]门窗表!#REF!</definedName>
    <definedName name="________QGM1">[10]门窗表!#REF!</definedName>
    <definedName name="________QGM2">[10]门窗表!#REF!</definedName>
    <definedName name="________QM1">[10]门窗表!#REF!</definedName>
    <definedName name="________QM2">[10]门窗表!#REF!</definedName>
    <definedName name="________QM3">[10]门窗表!#REF!</definedName>
    <definedName name="________QM4">[10]门窗表!#REF!</definedName>
    <definedName name="________QMC1">[10]门窗表!#REF!</definedName>
    <definedName name="________QMQ1">[10]门窗表!#REF!</definedName>
    <definedName name="________QMQ2">[10]门窗表!#REF!</definedName>
    <definedName name="________QMQ3">[10]门窗表!#REF!</definedName>
    <definedName name="________QQM1">[10]门窗表!#REF!</definedName>
    <definedName name="________QQM2">[10]门窗表!#REF!</definedName>
    <definedName name="_______D2">#N/A</definedName>
    <definedName name="_______N81020">[4]地梁!#REF!</definedName>
    <definedName name="_______QC1">[11]门窗表!#REF!</definedName>
    <definedName name="_______QC10">[11]门窗表!#REF!</definedName>
    <definedName name="_______QC11">[11]门窗表!#REF!</definedName>
    <definedName name="_______QC12">[11]门窗表!#REF!</definedName>
    <definedName name="_______QC13">[11]门窗表!#REF!</definedName>
    <definedName name="_______QC14">[11]门窗表!#REF!</definedName>
    <definedName name="_______QC15">[11]门窗表!#REF!</definedName>
    <definedName name="_______QC16">[11]门窗表!#REF!</definedName>
    <definedName name="_______QC2">[11]门窗表!#REF!</definedName>
    <definedName name="_______QC3">[11]门窗表!#REF!</definedName>
    <definedName name="_______QC4">[11]门窗表!#REF!</definedName>
    <definedName name="_______QC5">[11]门窗表!#REF!</definedName>
    <definedName name="_______QC6">[11]门窗表!#REF!</definedName>
    <definedName name="_______QC7">[11]门窗表!#REF!</definedName>
    <definedName name="_______QC8">[11]门窗表!#REF!</definedName>
    <definedName name="_______QC9">[11]门窗表!#REF!</definedName>
    <definedName name="_______QGM1">[11]门窗表!#REF!</definedName>
    <definedName name="_______QGM2">[11]门窗表!#REF!</definedName>
    <definedName name="_______QM1">[11]门窗表!#REF!</definedName>
    <definedName name="_______QM2">[11]门窗表!#REF!</definedName>
    <definedName name="_______QM3">[11]门窗表!#REF!</definedName>
    <definedName name="_______QM4">[11]门窗表!#REF!</definedName>
    <definedName name="_______QMC1">[11]门窗表!#REF!</definedName>
    <definedName name="_______QMQ1">[11]门窗表!#REF!</definedName>
    <definedName name="_______QMQ2">[11]门窗表!#REF!</definedName>
    <definedName name="_______QMQ3">[11]门窗表!#REF!</definedName>
    <definedName name="_______QQM1">[11]门窗表!#REF!</definedName>
    <definedName name="_______QQM2">[11]门窗表!#REF!</definedName>
    <definedName name="______D2">#N/A</definedName>
    <definedName name="______QC1">[12]门窗表!#REF!</definedName>
    <definedName name="______QC10">[12]门窗表!#REF!</definedName>
    <definedName name="______QC11">[12]门窗表!#REF!</definedName>
    <definedName name="______QC12">[12]门窗表!#REF!</definedName>
    <definedName name="______QC13">[12]门窗表!#REF!</definedName>
    <definedName name="______QC14">[12]门窗表!#REF!</definedName>
    <definedName name="______QC15">[12]门窗表!#REF!</definedName>
    <definedName name="______QC16">[12]门窗表!#REF!</definedName>
    <definedName name="______QC2">[12]门窗表!#REF!</definedName>
    <definedName name="______QC3">[12]门窗表!#REF!</definedName>
    <definedName name="______QC4">[12]门窗表!#REF!</definedName>
    <definedName name="______QC5">[12]门窗表!#REF!</definedName>
    <definedName name="______QC6">[12]门窗表!#REF!</definedName>
    <definedName name="______QC7">[12]门窗表!#REF!</definedName>
    <definedName name="______QC8">[12]门窗表!#REF!</definedName>
    <definedName name="______QC9">[12]门窗表!#REF!</definedName>
    <definedName name="______QGM1">[12]门窗表!#REF!</definedName>
    <definedName name="______QGM2">[12]门窗表!#REF!</definedName>
    <definedName name="______QM1">[12]门窗表!#REF!</definedName>
    <definedName name="______QM2">[12]门窗表!#REF!</definedName>
    <definedName name="______QM3">[12]门窗表!#REF!</definedName>
    <definedName name="______QM4">[12]门窗表!#REF!</definedName>
    <definedName name="______QMC1">[12]门窗表!#REF!</definedName>
    <definedName name="______QMQ1">[12]门窗表!#REF!</definedName>
    <definedName name="______QMQ2">[12]门窗表!#REF!</definedName>
    <definedName name="______QMQ3">[12]门窗表!#REF!</definedName>
    <definedName name="______QQM1">[12]门窗表!#REF!</definedName>
    <definedName name="______QQM2">[12]门窗表!#REF!</definedName>
    <definedName name="_____D2">#N/A</definedName>
    <definedName name="_____QC1">[11]门窗表!#REF!</definedName>
    <definedName name="_____QC10">[11]门窗表!#REF!</definedName>
    <definedName name="_____QC11">[11]门窗表!#REF!</definedName>
    <definedName name="_____QC12">[11]门窗表!#REF!</definedName>
    <definedName name="_____QC13">[11]门窗表!#REF!</definedName>
    <definedName name="_____QC14">[11]门窗表!#REF!</definedName>
    <definedName name="_____QC15">[11]门窗表!#REF!</definedName>
    <definedName name="_____QC16">[11]门窗表!#REF!</definedName>
    <definedName name="_____QC2">[11]门窗表!#REF!</definedName>
    <definedName name="_____QC3">[11]门窗表!#REF!</definedName>
    <definedName name="_____QC4">[11]门窗表!#REF!</definedName>
    <definedName name="_____QC5">[11]门窗表!#REF!</definedName>
    <definedName name="_____QC6">[11]门窗表!#REF!</definedName>
    <definedName name="_____QC7">[11]门窗表!#REF!</definedName>
    <definedName name="_____QC8">[11]门窗表!#REF!</definedName>
    <definedName name="_____QC9">[11]门窗表!#REF!</definedName>
    <definedName name="_____QGM1">[11]门窗表!#REF!</definedName>
    <definedName name="_____QGM2">[11]门窗表!#REF!</definedName>
    <definedName name="_____QM1">[11]门窗表!#REF!</definedName>
    <definedName name="_____QM2">[11]门窗表!#REF!</definedName>
    <definedName name="_____QM3">[11]门窗表!#REF!</definedName>
    <definedName name="_____QM4">[11]门窗表!#REF!</definedName>
    <definedName name="_____QMC1">[11]门窗表!#REF!</definedName>
    <definedName name="_____QMQ1">[11]门窗表!#REF!</definedName>
    <definedName name="_____QMQ2">[11]门窗表!#REF!</definedName>
    <definedName name="_____QMQ3">[11]门窗表!#REF!</definedName>
    <definedName name="_____QQM1">[11]门窗表!#REF!</definedName>
    <definedName name="_____QQM2">[11]门窗表!#REF!</definedName>
    <definedName name="_____xlfn.SUMIFS" hidden="1">#NAME?</definedName>
    <definedName name="____CUST_PRD_NO_SUP_2">""</definedName>
    <definedName name="____D2">#N/A</definedName>
    <definedName name="____QC1">[13]门窗表!#REF!</definedName>
    <definedName name="____QC10">[13]门窗表!#REF!</definedName>
    <definedName name="____QC11">[13]门窗表!#REF!</definedName>
    <definedName name="____QC12">[13]门窗表!#REF!</definedName>
    <definedName name="____QC13">[13]门窗表!#REF!</definedName>
    <definedName name="____QC14">[13]门窗表!#REF!</definedName>
    <definedName name="____QC15">[13]门窗表!#REF!</definedName>
    <definedName name="____QC16">[13]门窗表!#REF!</definedName>
    <definedName name="____QC2">[13]门窗表!#REF!</definedName>
    <definedName name="____QC3">[13]门窗表!#REF!</definedName>
    <definedName name="____QC4">[13]门窗表!#REF!</definedName>
    <definedName name="____QC5">[13]门窗表!#REF!</definedName>
    <definedName name="____QC6">[13]门窗表!#REF!</definedName>
    <definedName name="____QC7">[13]门窗表!#REF!</definedName>
    <definedName name="____QC8">[13]门窗表!#REF!</definedName>
    <definedName name="____QC9">[13]门窗表!#REF!</definedName>
    <definedName name="____QGM1">[13]门窗表!#REF!</definedName>
    <definedName name="____QGM2">[13]门窗表!#REF!</definedName>
    <definedName name="____QM1">[13]门窗表!#REF!</definedName>
    <definedName name="____QM2">[13]门窗表!#REF!</definedName>
    <definedName name="____QM3">[13]门窗表!#REF!</definedName>
    <definedName name="____QM4">[13]门窗表!#REF!</definedName>
    <definedName name="____QMC1">[13]门窗表!#REF!</definedName>
    <definedName name="____QMQ1">[13]门窗表!#REF!</definedName>
    <definedName name="____QMQ2">[13]门窗表!#REF!</definedName>
    <definedName name="____QMQ3">[13]门窗表!#REF!</definedName>
    <definedName name="____QQM1">[13]门窗表!#REF!</definedName>
    <definedName name="____QQM2">[13]门窗表!#REF!</definedName>
    <definedName name="____xlfn.SUMIFS" hidden="1">#NAME?</definedName>
    <definedName name="___CUST_PRD_NO_SUP_2">""</definedName>
    <definedName name="___D2">#N/A</definedName>
    <definedName name="___xlfn.SUMIFS" hidden="1">#NAME?</definedName>
    <definedName name="__CUST_PRD_NO_SUP_2">""</definedName>
    <definedName name="__xlfn.BAHTTEXT" hidden="1">#NAME?</definedName>
    <definedName name="__xlfn.SUMIFS" hidden="1">#NAME?</definedName>
    <definedName name="_10MM钢化">'[14]11'!$B$34</definedName>
    <definedName name="_12MM钢化">'[14]11'!$B$35</definedName>
    <definedName name="_1D2_">#N/A</definedName>
    <definedName name="_2" localSheetId="2">[3]门窗表!#REF!</definedName>
    <definedName name="_2" localSheetId="3">[3]门窗表!#REF!</definedName>
    <definedName name="_2" localSheetId="4">[3]门窗表!#REF!</definedName>
    <definedName name="_2">[3]门窗表!#REF!</definedName>
    <definedName name="_2_1">'[15]#REF!'!$P$6</definedName>
    <definedName name="_200_200_8镀锌埋板">'[14]11'!$B$39</definedName>
    <definedName name="_2CUST_PRD_NO_SUP_2">""</definedName>
    <definedName name="_CUST_PRD_NO_SUP_2">""</definedName>
    <definedName name="_Fill" hidden="1">'[16]sum(Flooring )'!#REF!</definedName>
    <definedName name="_jjjksh" localSheetId="2">[3]门窗表!#REF!</definedName>
    <definedName name="_jjjksh" localSheetId="3">[3]门窗表!#REF!</definedName>
    <definedName name="_jjjksh" localSheetId="4">[3]门窗表!#REF!</definedName>
    <definedName name="_jjjksh">[3]门窗表!#REF!</definedName>
    <definedName name="_llk" localSheetId="2">[3]门窗表!#REF!</definedName>
    <definedName name="_llk" localSheetId="3">[3]门窗表!#REF!</definedName>
    <definedName name="_llk" localSheetId="4">[3]门窗表!#REF!</definedName>
    <definedName name="_llk">[3]门窗表!#REF!</definedName>
    <definedName name="_MC3">[17]门窗表!#REF!</definedName>
    <definedName name="_N81020">[18]地梁!#REF!</definedName>
    <definedName name="_Order1" hidden="1">255</definedName>
    <definedName name="_W200">'[19]21'!$B$1:$B$802</definedName>
    <definedName name="abc" hidden="1">'[20]sum(Flooring )'!#REF!</definedName>
    <definedName name="abcd" hidden="1">'[18]sum(Flooring )'!#REF!</definedName>
    <definedName name="AccessDatabase" hidden="1">"D:\我的私人文件\预算自动化 (2).mdb"</definedName>
    <definedName name="AMTN_B">0</definedName>
    <definedName name="ass">'[21]骨浆计算式(备)'!#REF!</definedName>
    <definedName name="ATMNTOTAL">""</definedName>
    <definedName name="BAT_NO_HEAD">"06003"</definedName>
    <definedName name="bbb">#N/A</definedName>
    <definedName name="B主筋锚长">[22]内围地梁钢筋说明!$C$17</definedName>
    <definedName name="ccc">#N/A</definedName>
    <definedName name="CHK_MAN_B">"李春海"</definedName>
    <definedName name="CHK_MAN_BODY_SQ">""</definedName>
    <definedName name="CHK_MAN_H">"21004"</definedName>
    <definedName name="CHK_MANNAME">""</definedName>
    <definedName name="Count_In_OnePage">1</definedName>
    <definedName name="CUS_NM">"广东亚洲铝厂有限公司"</definedName>
    <definedName name="CUS_NO_H">"1002"</definedName>
    <definedName name="CUST_PRD_NO_SUP">"ZD5025"</definedName>
    <definedName name="CUST_PRD_NO_SUP_2">""</definedName>
    <definedName name="CUST_PRD_NO_SUP_20">""</definedName>
    <definedName name="D0">'[23]#REF!'!$D$1542</definedName>
    <definedName name="D3计数量">#N/A</definedName>
    <definedName name="dddd" localSheetId="2">[3]门窗表!#REF!</definedName>
    <definedName name="dddd" localSheetId="3">[3]门窗表!#REF!</definedName>
    <definedName name="dddd" localSheetId="4">[3]门窗表!#REF!</definedName>
    <definedName name="dddd">[3]门窗表!#REF!</definedName>
    <definedName name="dddf">[24]墙面工程!#REF!</definedName>
    <definedName name="DDF">'[25]2001取费'!$D$1</definedName>
    <definedName name="DEP_H">"21"</definedName>
    <definedName name="DEP_NM">"计核部"</definedName>
    <definedName name="er">[26]预算封面一标!$P$6</definedName>
    <definedName name="EST_DD_B">"06-10-05"</definedName>
    <definedName name="EST_DD_H">"06-10-05"</definedName>
    <definedName name="FAS_TABLE_BODY">"7;2;21;10;"</definedName>
    <definedName name="fc" hidden="1">'[27]sum(Flooring )'!#REF!</definedName>
    <definedName name="FD">#N/A</definedName>
    <definedName name="FF">#N/A</definedName>
    <definedName name="fg">#N/A</definedName>
    <definedName name="gg">[28]钢材单重!$A496:$A1048574</definedName>
    <definedName name="haoi">'[29]3'!$B$6:$G$9</definedName>
    <definedName name="hghdgfxdh">'[30]#REF!'!$L$6:$L$44</definedName>
    <definedName name="HH" hidden="1">'[16]sum(Flooring )'!#REF!</definedName>
    <definedName name="HHY" hidden="1">'[16]sum(Flooring )'!#REF!</definedName>
    <definedName name="HTML_CodePage" hidden="1">936</definedName>
    <definedName name="HTML_Control">{"'现金流量表（全部投资）'!$B$4:$P$23"}</definedName>
    <definedName name="HTML_Control_1" hidden="1">{"'现金流量表（全部投资）'!$B$4:$P$23"}</definedName>
    <definedName name="HTML_Control_2" hidden="1">{"'现金流量表（全部投资）'!$B$4:$P$23"}</definedName>
    <definedName name="HTML_Control_3" hidden="1">{"'现金流量表（全部投资）'!$B$4:$P$23"}</definedName>
    <definedName name="HTML_Control_4" hidden="1">{"'现金流量表（全部投资）'!$B$4:$P$23"}</definedName>
    <definedName name="HTML_Control_5" hidden="1">{"'现金流量表（全部投资）'!$B$4:$P$23"}</definedName>
    <definedName name="HTML_Description" hidden="1">"lin zijian"</definedName>
    <definedName name="HTML_Email" hidden="1">""</definedName>
    <definedName name="HTML_Header" hidden="1">"现金流量表（全部投资）"</definedName>
    <definedName name="HTML_LastUpdate" hidden="1">"96-12-2"</definedName>
    <definedName name="HTML_LineAfter" hidden="1">TRUE</definedName>
    <definedName name="HTML_LineBefore" hidden="1">TRUE</definedName>
    <definedName name="HTML_Name" hidden="1">"linzijia"</definedName>
    <definedName name="HTML_OBDlg2" hidden="1">TRUE</definedName>
    <definedName name="HTML_OBDlg4" hidden="1">TRUE</definedName>
    <definedName name="HTML_OS" hidden="1">0</definedName>
    <definedName name="HTML_PathFile" hidden="1">"C:\lin\bk\MyHTML.htm"</definedName>
    <definedName name="HTML_Title" hidden="1">"PROJECT11"</definedName>
    <definedName name="Hu" hidden="1">'[16]sum(Flooring )'!#REF!</definedName>
    <definedName name="INV_BAT_NO_H">"06003"</definedName>
    <definedName name="INV_PRD_NAME_SUP">"黑色JN2080,2.0mm"</definedName>
    <definedName name="INV_QTY_B">50</definedName>
    <definedName name="INV_SAL_NM">"李春海"</definedName>
    <definedName name="lap">[31]General!$B$2:$G$9</definedName>
    <definedName name="Main" localSheetId="2">[32]!Main</definedName>
    <definedName name="Main" localSheetId="3">[32]!Main</definedName>
    <definedName name="Main" localSheetId="4">[32]!Main</definedName>
    <definedName name="Main">[32]!Main</definedName>
    <definedName name="mc">OFFSET([33]汇总表!$B$3,1,,COUNTA([33]汇总表!$B$1:$B$65536)-1,)</definedName>
    <definedName name="NAME_ENG_1">""</definedName>
    <definedName name="NEED_DD">""</definedName>
    <definedName name="oo">'[34]骨浆计算式(备)'!#REF!</definedName>
    <definedName name="prd">#N/A</definedName>
    <definedName name="PRD_NM">"50A门挡水边框B"</definedName>
    <definedName name="PRD_NM_E">""</definedName>
    <definedName name="PRD_NO">"11031170026000"</definedName>
    <definedName name="_xlnm.Print_Area" localSheetId="0">采购部分汇总!$A$1:$I$22</definedName>
    <definedName name="_xlnm.Print_Area" localSheetId="2">采购部分拉帘!$A$1:$N$59</definedName>
    <definedName name="_xlnm.Print_Area" localSheetId="3">采购部分纱帘!$A$1:$N$6</definedName>
    <definedName name="_xlnm.Print_Area" localSheetId="1">采购部分医用隔帘!$A$1:$K$35</definedName>
    <definedName name="_xlnm.Print_Area" localSheetId="4">采购部分遮光卷帘!$A$1:$K$429</definedName>
    <definedName name="Print_Area_MI">'[35]#REF!'!$A$1:$N$92</definedName>
    <definedName name="_xlnm.Print_Titles" localSheetId="2" hidden="1">采购部分拉帘!$1:$2</definedName>
    <definedName name="_xlnm.Print_Titles" localSheetId="3" hidden="1">采购部分纱帘!$1:$2</definedName>
    <definedName name="_xlnm.Print_Titles" localSheetId="1">采购部分医用隔帘!$1:$2</definedName>
    <definedName name="_xlnm.Print_Titles" localSheetId="4" hidden="1">采购部分遮光卷帘!$1:$2</definedName>
    <definedName name="_xlnm.Print_Titles" hidden="1">#N/A</definedName>
    <definedName name="PSWD_USR">"21004"</definedName>
    <definedName name="REM_HEAD">"铝材约重：2970KG，E3，E4/14-20F，E8/10-15F"</definedName>
    <definedName name="REMARK_B">""</definedName>
    <definedName name="ReportDate">[1]Parameters!$B$6</definedName>
    <definedName name="rrewqrf" hidden="1">{"'费率表'!$A$1:$N$18"}</definedName>
    <definedName name="SAL_NO">"21004"</definedName>
    <definedName name="SAPBEXrevision" hidden="1">4</definedName>
    <definedName name="SAPBEXsysID" hidden="1">"BW1"</definedName>
    <definedName name="SAPBEXwbID" hidden="1">"8DZFG4M4NA6MVVGNLO7J4SRAY"</definedName>
    <definedName name="sf">'[36]#REF!'!$B$1:$B$65536</definedName>
    <definedName name="ShowZeroValues">"TRUE"</definedName>
    <definedName name="SPC_B">"6000"</definedName>
    <definedName name="SQ_DD">"20"</definedName>
    <definedName name="SQ_DD_HEAD_SQ">"06-09-20"</definedName>
    <definedName name="SQ_MM">"09"</definedName>
    <definedName name="SQ_NO.">"SQ69200004"</definedName>
    <definedName name="SQ_YY">"2006"</definedName>
    <definedName name="ssd">[37]基础项目!#REF!</definedName>
    <definedName name="SYS_CMP_ADR">" "</definedName>
    <definedName name="SYS_NAME">""</definedName>
    <definedName name="SYS_TEL1">""</definedName>
    <definedName name="SYS_TEL3">""</definedName>
    <definedName name="SYSUSR_NAME">"李春海"</definedName>
    <definedName name="TOTAL1">""</definedName>
    <definedName name="TOTLAL_QTY">575</definedName>
    <definedName name="UNIT_NAME">"支"</definedName>
    <definedName name="wwe">[38]基础项目!#REF!</definedName>
    <definedName name="wwwd">[38]基础项目!#REF!</definedName>
    <definedName name="xmmc">[28]分类!$A$1:$A$65536</definedName>
    <definedName name="y" hidden="1">'[27]sum(Flooring )'!#REF!</definedName>
    <definedName name="yy">#N/A</definedName>
    <definedName name="阿瑟">'[39]5201.2004'!$A$1:$I$24</definedName>
    <definedName name="暗暗" hidden="1">'[16]sum(Flooring )'!#REF!</definedName>
    <definedName name="八">'[40]8'!$B$6:$G$9</definedName>
    <definedName name="八层梁砼">[41]八.单梁连续梁通用!#REF!</definedName>
    <definedName name="板支撑">[42]屋面板通用!$O$20</definedName>
    <definedName name="办公档次">[43]复地集团项目开发周期表!$I$365:$I$373</definedName>
    <definedName name="办公建筑类型">[43]复地集团项目开发周期表!$H$365:$H$373</definedName>
    <definedName name="包工不包料">'[44]97取费(定额直接费)'!#REF!</definedName>
    <definedName name="保温" hidden="1">{"'费率表'!$A$1:$N$18"}</definedName>
    <definedName name="泵房">[45]加压泵房!$G$69</definedName>
    <definedName name="编制单位">""</definedName>
    <definedName name="编制人">""</definedName>
    <definedName name="编制日期">"2014年12月27日"</definedName>
    <definedName name="补充">[46]基础项目!#REF!</definedName>
    <definedName name="不锈钢板">'[47]#REF!'!$E$9</definedName>
    <definedName name="材料代号">[48]过渡数据表!$A$1:$A$16</definedName>
    <definedName name="材料名称">[49]使用说明!$B$20:$B$3000</definedName>
    <definedName name="层数高度">""</definedName>
    <definedName name="沉箱底面积">[50]厨厕通用!$J$9</definedName>
    <definedName name="传动器">[51]sheet2!$B$9</definedName>
    <definedName name="窗C10">[17]门窗表!#REF!</definedName>
    <definedName name="窗C12">[17]门窗表!#REF!</definedName>
    <definedName name="窗C14">[17]门窗表!#REF!</definedName>
    <definedName name="窗C15">[17]门窗表!#REF!</definedName>
    <definedName name="窗C16">[17]门窗表!#REF!</definedName>
    <definedName name="窗C17">[17]门窗表!#REF!</definedName>
    <definedName name="窗C2一">'[52]十八.门窗表,门框塞缝'!#REF!</definedName>
    <definedName name="窗C3">[17]门窗表!#REF!</definedName>
    <definedName name="窗C51">[53]门窗表!$F$11</definedName>
    <definedName name="达到顶点">'[15]#REF!'!$C$2:$C$311</definedName>
    <definedName name="带基垫层模板">[54]台阶!#REF!</definedName>
    <definedName name="带基垫层砼">[54]台阶!#REF!</definedName>
    <definedName name="带基模板">[54]台阶!#REF!</definedName>
    <definedName name="带基砼">[54]台阶!#REF!</definedName>
    <definedName name="带基挖方">[54]台阶!#REF!</definedName>
    <definedName name="挡土墙工作面回填">[50]地坪!$I$25</definedName>
    <definedName name="地">'[55]3.基础梁'!#REF!</definedName>
    <definedName name="地弹簧">[51]sheet2!$B$12</definedName>
    <definedName name="地梁">'[55]3.基础梁'!#REF!</definedName>
    <definedName name="地面">'[56]3.基础梁'!#REF!</definedName>
    <definedName name="地坪厚">[52]三.基础梁!#REF!</definedName>
    <definedName name="地坪上矩形柱模板">'[42]F10~22柱通用'!$R$51</definedName>
    <definedName name="地坪上异形柱模板">'[42]F10~22柱通用'!$T$51</definedName>
    <definedName name="地坪上柱砼">'[42]F10~22柱通用'!$P$51</definedName>
    <definedName name="地坪上柱支撑">'[42]F10~22柱通用'!$W$50</definedName>
    <definedName name="地坪下矩形柱模板">'[57]F1~2承台'!#REF!</definedName>
    <definedName name="地坪下异形柱模板">'[57]F1~2承台'!#REF!</definedName>
    <definedName name="地坪下柱砼">'[57]F1~2承台'!#REF!</definedName>
    <definedName name="地坪下柱支撑">'[57]F1~2承台'!#REF!</definedName>
    <definedName name="地下室">'[58]1标段汇总表'!#REF!</definedName>
    <definedName name="地下总层数">[43]复地集团项目开发周期表!$H$377:$H$381</definedName>
    <definedName name="电气系统2" hidden="1">{"'现金流量表（全部投资）'!$B$4:$P$23"}</definedName>
    <definedName name="垫层厚宽">'[59]4.基础梁拉梁'!#REF!</definedName>
    <definedName name="栋">'[60]骨浆计算式(备)'!#REF!</definedName>
    <definedName name="发的回复的" hidden="1">#NAME?</definedName>
    <definedName name="发函2" hidden="1">{"'费率表'!$A$1:$N$18"}</definedName>
    <definedName name="防水" hidden="1">{"'费率表'!$A$1:$N$18"}</definedName>
    <definedName name="放坡系数2">'[61]承台(砖模) '!#REF!</definedName>
    <definedName name="放坡系数A">'[61]承台(砖模) '!#REF!</definedName>
    <definedName name="费率">[62]材料单价!$D$4</definedName>
    <definedName name="份额哇">#N/A</definedName>
    <definedName name="封面" hidden="1">{"'现金流量表（全部投资）'!$B$4:$P$23"}</definedName>
    <definedName name="敷设下拉菜单">[63]下拉菜单!$E$1:$E$65536</definedName>
    <definedName name="附加赛">'[64]#REF!'!$D$1542</definedName>
    <definedName name="附件">'[27]骨浆计算式(备)'!#REF!</definedName>
    <definedName name="复式">[65]墙面工程!#REF!</definedName>
    <definedName name="钢筋1">[62]材料单价!$D$18</definedName>
    <definedName name="钢筋2">[62]材料单价!$D$19</definedName>
    <definedName name="钢筋3">[62]材料单价!$D$20</definedName>
    <definedName name="钢筋工">[62]材料单价!$D$22</definedName>
    <definedName name="钢栏杆">[52]九.楼梯!#REF!</definedName>
    <definedName name="钢丝网">[62]材料单价!$D$21</definedName>
    <definedName name="钢丝网面积">[42]砖墙通用!$N$113</definedName>
    <definedName name="给排水">[66]下拉菜单!$C$1:$C$65536</definedName>
    <definedName name="给排水1">[31]下拉菜单!$G$1:$G$65536</definedName>
    <definedName name="给水">[31]下拉菜单!$C$1:$C$65536</definedName>
    <definedName name="工">'[55]3.基础梁'!#REF!</definedName>
    <definedName name="工程">'[67]骨浆计算式(备)'!#REF!</definedName>
    <definedName name="工程类别">""</definedName>
    <definedName name="工程量">#N/A</definedName>
    <definedName name="工程名称">"装饰工程表"</definedName>
    <definedName name="公式">#N/A</definedName>
    <definedName name="拱形梁模板">'[42]计算表(通用)'!$E$79</definedName>
    <definedName name="拱形梁砼">'[42]计算表(通用)'!$D$79</definedName>
    <definedName name="构造柱模板">[42]构造柱通用!$G$10</definedName>
    <definedName name="管理费">[51]sheet2!$B$34</definedName>
    <definedName name="好" hidden="1">{"'现金流量表（全部投资）'!$B$4:$P$23"}</definedName>
    <definedName name="合计">'[57]非通用工程量汇总表 (3-18) '!#REF!</definedName>
    <definedName name="黑白根大理石">'[47]#REF!'!$E$18</definedName>
    <definedName name="黑金沙大理石">'[47]#REF!'!$E$19</definedName>
    <definedName name="护窗栏杆高度分类" hidden="1">'[27]sum(Flooring )'!#REF!</definedName>
    <definedName name="滑轮">[51]sheet2!$B$13</definedName>
    <definedName name="蝗" hidden="1">'[27]sum(Flooring )'!#REF!</definedName>
    <definedName name="蝗虫" hidden="1">'[27]sum(Flooring )'!#REF!</definedName>
    <definedName name="灰麻大理石">'[47]#REF!'!$E$17</definedName>
    <definedName name="机械土方">'[44]97取费(定额直接费)'!#REF!</definedName>
    <definedName name="加气砼">[62]材料单价!$D$23</definedName>
    <definedName name="加气砼工">[62]材料单价!$D$24</definedName>
    <definedName name="建设单位">""</definedName>
    <definedName name="建筑面积">""</definedName>
    <definedName name="建筑总高度">[43]复地集团项目开发周期表!$G$377:$G$380</definedName>
    <definedName name="铰链">[51]sheet2!$B$10</definedName>
    <definedName name="结构形式">""</definedName>
    <definedName name="酒店档次">[43]复地集团项目开发周期表!$G$365:$G$373</definedName>
    <definedName name="酒店建筑类型">[43]复地集团项目开发周期表!$E$366:$E$372</definedName>
    <definedName name="空心砖">[62]材料单价!$D$25</definedName>
    <definedName name="空心砖工">[62]材料单价!$D$26</definedName>
    <definedName name="来了">{"'现金流量表（全部投资）'!$B$4:$P$23"}</definedName>
    <definedName name="栏板反檐模板">'[42]计算表(通用)'!$E$7</definedName>
    <definedName name="栏板反檐砼">'[42]计算表(通用)'!$D$7</definedName>
    <definedName name="栏板面">[42]装饰!$P$27</definedName>
    <definedName name="勒脚抹灰">'[57]计算表 (非通用)'!$D$41</definedName>
    <definedName name="理論" hidden="1">'[16]sum(Flooring )'!#REF!</definedName>
    <definedName name="联系单">'[68]价格表 '!$B$2:$B$311</definedName>
    <definedName name="梁支撑">'[42]矩形梁(F10~22)通用 '!$U$96</definedName>
    <definedName name="零星抹灰">[42]装饰!$K$28</definedName>
    <definedName name="六">'[40]6'!$B$6:$G$8</definedName>
    <definedName name="楼面面层">[50]装饰!$H$26</definedName>
    <definedName name="楼梯面层">[42]装饰!$I$27</definedName>
    <definedName name="楼梯模板">[42]楼梯通用!$L$14</definedName>
    <definedName name="楼梯砼">[42]楼梯通用!$K$14</definedName>
    <definedName name="铝材">[51]sheet2!$B$5</definedName>
    <definedName name="铝合金配套费">[42]门窗表通用!$J$25</definedName>
    <definedName name="玫瑰钛钢板">'[47]#REF!'!$E$10</definedName>
    <definedName name="密封胶">[51]sheet2!$B$17</definedName>
    <definedName name="面积合计">'[40]面积合计（藏）'!$B$5:$H$88</definedName>
    <definedName name="内梁面">[42]装饰!$F$27</definedName>
    <definedName name="内墙面层">[42]装饰!$O$27</definedName>
    <definedName name="内柱面">[42]装饰!$D$27</definedName>
    <definedName name="你好">'[64]#REF!'!$D$1542</definedName>
    <definedName name="排水下拉菜单">[63]下拉菜单!$C$1:$C$65536</definedName>
    <definedName name="配套辅材">'[47]#REF!'!$E$13</definedName>
    <definedName name="配套龙骨">'[47]#REF!'!$E$12</definedName>
    <definedName name="平板模板">[42]板通用!$J$26</definedName>
    <definedName name="平板砼">[42]板通用!$I$26</definedName>
    <definedName name="平屋面防水">[52]十一.屋面瓦通用!#REF!</definedName>
    <definedName name="葡萄牙灰大理石">'[47]#REF!'!$E$20</definedName>
    <definedName name="七">'[40]7'!$B$6:$G$15</definedName>
    <definedName name="其他单位索赔">#N/A</definedName>
    <definedName name="其他五金配件">[51]sheet2!$B$14</definedName>
    <definedName name="砌筑砂浆">[62]材料单价!$D$29</definedName>
    <definedName name="墙布">'[47]#REF!'!$E$3</definedName>
    <definedName name="墙布1">'[47]#REF!'!$E$3</definedName>
    <definedName name="圈过梁C20砼">[42]圈过梁通用!$E$20</definedName>
    <definedName name="圈过梁C25砼">[42]圈过梁通用!$E$21</definedName>
    <definedName name="圈过梁模板">[42]圈过梁通用!$E$19</definedName>
    <definedName name="人工土方">'[44]97取费(定额直接费)'!#REF!</definedName>
    <definedName name="三">'[40]3'!$B$6:$G$9</definedName>
    <definedName name="扫地">'[59]4.基础梁拉梁'!#REF!</definedName>
    <definedName name="纱窗">[51]sheet2!$B$20</definedName>
    <definedName name="商业交房标准">[43]复地集团项目开发周期表!$J$377:$J$381</definedName>
    <definedName name="上悬窗用风撑">[51]sheet2!$D$11</definedName>
    <definedName name="设计单位">""</definedName>
    <definedName name="审核单位">""</definedName>
    <definedName name="石膏板">'[47]#REF!'!$E$11</definedName>
    <definedName name="是甲方了解栋">#N/A</definedName>
    <definedName name="室内外地台差">'[61]承台(砖模) '!#REF!</definedName>
    <definedName name="水电费">[51]sheet2!$B$37</definedName>
    <definedName name="水泥砂浆">'[47]#REF!'!$E$14</definedName>
    <definedName name="税金">[51]sheet2!$B$36</definedName>
    <definedName name="四">'[40]4'!$B$6:$G$43</definedName>
    <definedName name="四至七层梁砼">[41]八.单梁连续梁通用!#REF!</definedName>
    <definedName name="梯屋面层梁砼">[41]八.单梁连续梁通用!#REF!</definedName>
    <definedName name="踢脚线">[42]装饰!$M$27</definedName>
    <definedName name="踢脚线高">[61]柱!#REF!</definedName>
    <definedName name="天沟模板">'[42]计算表(通用)'!$E$107</definedName>
    <definedName name="天沟砼">'[42]计算表(通用)'!$D$107</definedName>
    <definedName name="天花ICI">'[47]#REF!'!$F$5</definedName>
    <definedName name="天棚面">[42]装饰!$G$27</definedName>
    <definedName name="填缝胶">[51]sheet2!$B$18</definedName>
    <definedName name="条形铝扣板天花吊顶">'[47]#REF!'!$E$8</definedName>
    <definedName name="通知单安装" hidden="1">{"'现金流量表（全部投资）'!$B$4:$P$23"}</definedName>
    <definedName name="通知单安装_1" hidden="1">{"'现金流量表（全部投资）'!$B$4:$P$23"}</definedName>
    <definedName name="通知单安装_2" hidden="1">{"'现金流量表（全部投资）'!$B$4:$P$23"}</definedName>
    <definedName name="通知单安装_3" hidden="1">{"'现金流量表（全部投资）'!$B$4:$P$23"}</definedName>
    <definedName name="通知单安装_4" hidden="1">{"'现金流量表（全部投资）'!$B$4:$P$23"}</definedName>
    <definedName name="通知单安装_5" hidden="1">{"'现金流量表（全部投资）'!$B$4:$P$23"}</definedName>
    <definedName name="投标材料清单">'[40]投标材料清单 '!$B$5:$J$75</definedName>
    <definedName name="土建工程">'[44]97取费(定额直接费)'!#REF!</definedName>
    <definedName name="外防水" hidden="1">{"'费率表'!$A$1:$N$18"}</definedName>
    <definedName name="外梁面">[42]装饰!$E$27</definedName>
    <definedName name="外墙面层">[42]装饰!$N$27</definedName>
    <definedName name="外柱面">[42]装饰!$C$27</definedName>
    <definedName name="完成情况">[43]复地集团项目开发周期表!$A$388:$A$400</definedName>
    <definedName name="未" hidden="1">{"'费率表'!$A$1:$N$18"}</definedName>
    <definedName name="屋面板砼">[42]屋面板通用!$J$20</definedName>
    <definedName name="屋面上墙砼">'[42]计算表(通用)'!$D$103</definedName>
    <definedName name="五">'[40]5'!$B$6:$G$15</definedName>
    <definedName name="物业级别">[43]复地集团项目开发周期表!$C$367:$C$378</definedName>
    <definedName name="物业类型">[43]项目基本情况!$B$43:$B$62</definedName>
    <definedName name="系统下拉菜单">[63]下拉菜单!$D$1:$D$65536</definedName>
    <definedName name="线条模板">'[42]计算表(通用)'!$E$92</definedName>
    <definedName name="线条砼">'[42]计算表(通用)'!$D$92</definedName>
    <definedName name="项目品质">[43]复地集团项目开发周期表!$B$366:$B$371</definedName>
    <definedName name="项目所在区域">[43]复地集团项目开发周期表!$A$387:$A$400</definedName>
    <definedName name="项目主要类型">[43]复地集团项目开发周期表!$D$366:$D$372</definedName>
    <definedName name="消防箱">'[52]十八.门窗表,门框塞缝'!#REF!</definedName>
    <definedName name="斜板模板">[42]屋面板通用!$K$20</definedName>
    <definedName name="新的封面">#N/A</definedName>
    <definedName name="一问" hidden="1">{"'现金流量表（全部投资）'!$B$4:$P$23"}</definedName>
    <definedName name="衣帽间空门洞">'[52]十八.门窗表,门框塞缝'!#REF!</definedName>
    <definedName name="异形梁模板">'[42]计算表(通用)'!$E$72</definedName>
    <definedName name="异形梁砼">'[52]十六.零星,屋面做法计算表'!#REF!</definedName>
    <definedName name="异形梁支撑">'[42]计算表(通用)'!$G$72</definedName>
    <definedName name="圆形柱模板">'[57]计算表 (非通用)'!$E$22</definedName>
    <definedName name="执手">[51]sheet2!$B$8</definedName>
    <definedName name="中央空调">[43]复地集团项目开发周期表!$F$348:$F$350</definedName>
    <definedName name="轴号">'[55]3.基础梁'!#REF!</definedName>
    <definedName name="住宅交房标准">[43]复地集团项目开发周期表!$I$377:$I$381</definedName>
    <definedName name="综合商业档次">[43]复地集团项目开发周期表!$K$365:$K$370</definedName>
    <definedName name="综合商业建筑类型">[43]复地集团项目开发周期表!$J$365:$J$370</definedName>
    <definedName name="________________________________________________________N81020" localSheetId="5">[3]地梁!#REF!</definedName>
    <definedName name="_2" localSheetId="5">[3]门窗表!#REF!</definedName>
    <definedName name="_jjjksh" localSheetId="5">[3]门窗表!#REF!</definedName>
    <definedName name="_llk" localSheetId="5">[3]门窗表!#REF!</definedName>
    <definedName name="dddd" localSheetId="5">[3]门窗表!#REF!</definedName>
    <definedName name="Main" localSheetId="5">[32]!Main</definedName>
    <definedName name="_xlnm.Print_Area" localSheetId="5">采购部分百叶帘!$A$1:$K$64</definedName>
    <definedName name="_xlnm.Print_Titles" localSheetId="5" hidden="1">采购部分百叶帘!$1:$2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<sst xmlns="http://schemas.openxmlformats.org/spreadsheetml/2006/main" count="2990" uniqueCount="490">
  <si>
    <t>南方医科大学南方医院广州肾脏病医学中心窗帘项目清单、报价单</t>
  </si>
  <si>
    <t>报价单位（盖章）：
报价联系人：
报价人电话：</t>
  </si>
  <si>
    <t>序号</t>
  </si>
  <si>
    <t>产品名称</t>
  </si>
  <si>
    <t>参考图片</t>
  </si>
  <si>
    <t>型号（适用区域）</t>
  </si>
  <si>
    <t>数量</t>
  </si>
  <si>
    <t>单位</t>
  </si>
  <si>
    <t>备注</t>
  </si>
  <si>
    <t>单价报价          （人民币/元）</t>
  </si>
  <si>
    <t>分项总报价       （人民币 /元）</t>
  </si>
  <si>
    <t>医用隔帘</t>
  </si>
  <si>
    <t>米</t>
  </si>
  <si>
    <t>医用隔帘布：(定高2.8米、计算方式宽x折皱2倍=米、包含辅料布带)                                                                                                       1、成份：聚酯纤维100%(检测方法标准：FZ/T01057-2007)                                                                                                               2、平方米干燥重量(g/m²):≥240g/m²;(检测方法标准：FZ/T70010-2006)                                                                                                                 3、甲醛含量(mg/kg):符合B类标准《国家纺织产品基本安全规范》(GB18401-2010),(检测方法标准：GB/T2912.1-2009)                                                                                                      4、厚度(mm):≥0.8mm;(检测方法标准：GB/T3820-1997)                                                                                                                5、异味：符合《国家纺织产品基本安全规范》(GB 18401-2010)无异味标准，(检测方法标准：GB 18401-2010)                                                                   6、燃烧性能：B1级；损毁长度≤150(mm);续燃时间(S)经向≤5.0,纬向≤5.0;阴燃时间(S)经向≤5.0,纬向≤5.0)(检测方法标准：GB/T 5455-2014)                                                                                                              7、水洗尺寸变化率1%:直向-0.3~0.5,横向 - 0 . 6 ~ 0 . 8 ; ( 检 测 方 法 标 准 ：GB/T8630-2013)                                                                           8、顶破强力(N):符合≥1800;(检测方法标准：GB/T 19976-2005)                          
9、可分解致癌芳香胺染料：符合《国家纺织产品基本安全规范》(GB 18401-2010)禁 用 标 准 ，  检 测 方 法 标 准 ( GB/T 17592-2024)      
10、紫外线性能：UPF50;T(UVA)AV&lt;0.9%,T(UVB)AV&lt;0.2%,UPFAV≥360(检
测方法标准：GB/T18830-2009)                                                    
11、抗静电静电压半衰期(HDT)/S:洗前峰值电压(KV):1.8～2.0,半衰期(S)6 . 5 ～ 7 . 0 ; ( 检 测 方 法 标 准 GB/T12703.1-2021)                                                                                               
12、pH值：符合B类标准《国家纺织产品基本安全规范》(GB 18401-2010),(检测方法标准：GB/T7573-2009)                                                                    13、耐光色牢度(级):符合≥4级；(检测方法标准：GB/T8427-2019),耐水色牢度(级):变色、沾色符合≥4级；(检测方法标准：GB/T5713-2013)                                                                                                           
14、耐干摩擦色牢度(级):符合≥4级；耐湿摩擦色牢度(级):符合≥4级(检测方法标准：GB/T 3920-2008);耐皂洗色牢度(级):变色符合≥4级、沾色符合≥4级检测方法标准GB/T 12490-2014                                                                                       15、窗帘布两边包边3cm,底部包边10cm,顶部预留不少于5cm内止口，加工工艺：布帘打皱须从顶到脚上下一致。按照实际倍比例打皱，韩折调节工艺布头与绑带布帘面料的材质及颜色要一致，不能有布头带裸露在外面。车3公分边，10公分脚。</t>
  </si>
  <si>
    <t>拉帘</t>
  </si>
  <si>
    <t>遮光窗帘布 ：                                                                                   （一） 面料技术要求：颜色按可选择，2.8米宽幅，永久性阻燃聚酯纤维材质，色织压花纹面料，多层编织具备隔音降噪性能，耐高温洗涤不变形，耐熨烫温度150度，按照1:2比例打皱。
1、单位面积质量（g/㎡）：≥416 ，符合GB/T 4669-2008《纺织品 机织物 单位长度质量和单位面积质量的测定》标准，机织物密度（要/10cm）：经向：1372根±5%，纬向：448根/±5%，按照GB/T 4668-1995《机织物密度的测定》方法A检测。
2、洗涤50次后阻燃标准：防火阻燃符合GB 8624-2012《建筑材料及制品燃烧性能分级》B1级别标准或以上。
3、遮光率：≥99%。（FZ/T 01009-2008）
4、防紫外线：变化率符合 GB/T 18830-2009标准值
5、抑菌性能：符合GB/T 20944.3-2008《纺织品 抗菌性能的评价第3部分：振荡法》，对金黄色葡萄球菌、大肠杆菌的抑菌率、白色念珠菌≥98%。
6、PH值：4.0-9.0，符合GB/T 7573-2009标准的检测。
7、异味：无异味，符合GB/T 18401-2010标准的检测。
8、耐皂洗色牢度：变色≥4级、沾色≥4级，检测方法按照GB/T 3921-2008《纺织品色牢度试验 耐皂洗色牢度》标准。
9、可分解致癌芳香胺燃料：≤20mg/kg，检测方法按照GB/T 17592-2024《纺织品 禁用偶氮染料的测定》标准。
10、耐摩擦色牢度：干擦沾色≥4级，湿擦沾色≥4级，检测方法GB/T 3920-2008。11、耐水色牢度：变色≥4级、沾色≥4级，检测方法按照GB/T5713-2013标准。12、耐次氯酸盐漂白色牢度：符合GB/T7069-1997《纺织品 色牢度试验 耐次氯酸盐漂白色牢度》标准，变色≥4级、沾色≥4级。
13、甲醛含量(mg/kg）符合GB/T 2912.1-2009(水萃法)：C类标准
14、可萃限重金属含量符合 GB/T 18885-2020检测标准
15、水洗尺寸变化率（%）符合GB/T 8628-2013，GB/T 8630-2013,GB/T 8629-2017 检测标准 
16、厚度（mm）：≥0.8mm 符合GB/T 3820-1997
17、纤维含量（%）：聚酯纤维100 FZ/T 01057.1-2021
18、紕裂程度（mm)GB/T 13772.2-2018≤6
（二） 制作要求：
1、窗身褶皱1:2倍，窗帘头用10cm宽的窗帘布带缝制，底边10cm+2cm卷边，帘身上方使用X型褶皱捏合车缝，回形2次走线，褶高3cm，加强褶皱拉扯强力；为便于使用方后期清洗复原，不得使用四叉钩工艺，两褶位间距一致，褶位正，两侧边垂直无吊脚，无爆头，下脚齐平，缝制线路笔直，配不锈钢单钩，车缝针距：5针/cm，帘身整体用记忆定型工艺处理，帘身侧边不卷翘，翻卷角度&lt;30度，达到水洗≥14次不变形，所有布边先用包边工艺处理再做合缝。
2、每片窗帘的绑带配置甲方LOGO(直径≥8cm)，工艺：机绣。
3、绑带车缝在帘身两侧，绑带上使用无毛刺的平板魔术贴，避免绑带放下时魔术贴粘扯帘身，造成抽丝抽纱。
4、遮光窗帘挂钩采用(8.5cm)POM材质的定位褶调节钩。
5、遮光窗帘需缝纫标签，标签内容需体现楼层号、科室名称。</t>
  </si>
  <si>
    <t>纱帘</t>
  </si>
  <si>
    <t>窗纱：(定高3.2米、计算方式宽x折皱系数=米、包含辅料布带)                                                                                               1、成 份 ：聚酯纤维100%(检测方法标准：FZ/T01057.1-2007/FZ/T01057.2-2007/T01057.3-2007/T01057.4-2007)                                                                                          2 、 遮 光 率 ( % ) : ≥ 7 5 ; 检测标准FZ/T62025-2015附录A                                                                     3、甲醛含量(mg/kg):符合B类标准(方法检出限为20);(检测方法标准：GB/T2912.1-2009)                                                 4、pH值：符合B类标准：4.0～8.5萃取介质：0.1mol/L氯化钾溶液(检测方法标准GB/T7573-2009),异味：无异味(检测方法标准GB/T 18401-2010)                                                                                                                        5、可分解致癌芳香胺染料(mg/kg):禁用(限量值≤20mg/kg)(检测方法标准： GB/T 17592-2024)                                         6、勾丝性能(级):具有良好的抗勾丝能力：经向：4级，纬向：4级(检测方法标准：GB/T11047-2008)                                      7、耐洗色牢度(级)变色沾色：棉≥4级、聚酯≥4级(检测方法标准： GB/T12490-2014)                                                   8、静电压半衰期(HDT)/s:洗前：峰值电压(kV):1.5半衰期(s):47(正负±3%)(检测方法标准：GB/T 12703.1-2021)                                                                                            9、纱线抗滑移(mm):经纱滑移量：≤11,纬纱滑移量：≤6(定负荷：180N)(检测方法标准：GB/T 13772.2-2018)                                                                                         10、纺织品燃烧性能：损毁长度(mm)≤150(续燃时间(s):经向：5.0纬向：5.0,阴燃时间(s):经向：5.0、纬
向：5.0(检测方法标准：GB/T 5455-2014)                                                                                         11、可萃取重金属(mg/kg):锑(Sb)3.0、砷(As)0.1、铅(Pb)0.2、镉(Cd)0.02、铬(Cr)0.2、铬(六价)0.2、钴(Co)0.1、铜(Cu)2.5、镍(Ni)0.2汞(Hg)0.005(检测方法标准:  GB/T 17593.2-2007、GB/T17593.3-2006、GB/T 17593.4-2006)                                                                                                            12、耐唾液色牢度(级)变色沾色：棉≥4级，聚酯≥4级(检测方法标准：GB/T18886-2019),耐干摩擦色牢度(级):经向≥4级，纬向≥4级(检测方法标准：GB/T 3920-2008),耐湿摩擦色牢度(级):经向≥4级，纬向≥4级(检测方法标准：GB/T 3920-2008)                                                                                                                      13、耐磨性能(次):≥10500(检测方法标准：GB/T 21196.2-2007),水洗尺寸变化率/%:经向0.3～0.3,纬向0.2～0.2(检测方法标准：GB/T8630-2013),起毛起球级):摩擦2000次≥3级(检测方法标准：GB/T4802.2-2008)                                                                                                14、悬垂性(%):正面平均值：41.0,反面平均值：43.4,总体平均值：42.2(正负±3%)(检测方法标准：GB/T
23329-2009),透气率(mm/s):≥2100(检测方法标准：GB/T 5453-1997)                                                                15、单位面积质量(g/m²):≥130(检测方法标准：GB/T 4669-2008),织物密度(根/10cm):经密：160.0~165.0,纬密：145.0~150.0(正负±3%)(检测方法标准GB/T:4668-1995),纱线线密度：经纱：22.4tex×2(26.4s/2),纬纱：≥22.4tex×2(26.4s/2)(检测方法标准：GB/T29256.5-2012)                                                                                                           16、撕破强力(N):经向：80～85,纬向：7 5 ～ 8 0  ( 检 测 方 法 标 准 G B / T3917.3-2009),断裂强力(N):经向：750~770,纬向：620～640(检测方法标准：GB/T 3923.1-2013)                                                                                           17、耐水色牢度(级)变色沾色：棉≥4级、聚酯≥4级(检测方法标准： GB/T5713-2013),耐光色牢度(级):≥4级(检测方法标准：GB/T8427-2019)                                                                                                                                18、耐汗渍色牢度(级)变色沾色：棉≥4级级、聚酯≥4级(检测方法标准：GB/T3922-2013),耐热压色牢度(级):符合≥ 4 级 级 ( 检 测 方 法 标 准 ：GB/T6152-1997),                                                                                                          19、窗帘布两边包边3cm,底部包边10cm,顶部预留不少于5cm内止口，
加工工艺：布帘打皱须从顶到脚上下一致 。按照实际倍比例打皱，韩折调节工艺布头与绑带布帘面料的材质及颜色要 一 致 ，不能有布头带裸露在外面。车3公分边，10公分脚。</t>
  </si>
  <si>
    <t>遮光卷帘</t>
  </si>
  <si>
    <t>平方米</t>
  </si>
  <si>
    <t>（一）颜色：米白银色
（二）面料技术要求
1、材质:涂层聚氯乙烯（PVC）检测标准GB/T 30695-2014 ，纤维含量：芯纱玻璃纤维100% 检测标准 FZ/T 01057.2-20072、面料厚度（mm）:≥0.37 GB/T 3820-1997。
2、质量（g/㎡）≥446  GB/T 4669-2008《纺织品 机织物 单位长度质量和单位面积质量的测定》。
3、防火性能：符合GB8624-2012《建筑材料及制品燃烧性能分级》B1级要求。
4、极限氧指数值（％）：符合GB8624-2012检测标准。
5、断裂强力（条样法）（N）符合GB/T 3923.1-2013条样法 直向≥460、横向≥790。
6、甲醛含量(mg/kg）符合GB/T 2912.1-2009(水萃法):C类标准。
7、PH 值符合GB/T 7573-2009检测 标准值4.0～9.0。
8、异味：符合GB 18401-2010 《国家纺织产品基本安全技术规范》6.7 检测 无异味。
9、可分解致癌芳香胺染料符合GB  18401-2010《国家纺织产品基本安全技术规范》检测标准。
10、耐水色牢度（级）：符合GB/T 5713-2013 检测标准 变色≥4级、沾色≥4级。
11、耐摩擦色牢度（级）：符合GB/T 3920-2008《纺织品 色牢度试验 耐摩擦色牢度》：干擦沾色≥4级，湿擦沾色≥4级。
12、耐光色牢度（级）符合 GB/T 8427-2019方法3检测标准≥4级。
13、可萃取重金属含量：符合GB/T 17593.2-2007  GB/T 17593.3-2006 GB/T 17593.4-2006。
14、防紫外线性能：符合GB/T 18830-2009标准
15、遮光率：100%。（FZ/T 01009-2008）
16、耐次氯酸盐漂白色牢度：≥4级，符合GB/T7069-1997《纺织品 色牢度试验
耐次氯酸盐漂白色牢度》标准。（三） 卷帘管材技术要求
1、卷帘管直径（非壁厚）尺寸≥35mm，符合GB/T 6892-2023《一般工业用铝及铝合金挤压型材》标准
2、卷帘铝底槽尺寸如下，铝材符合GB/T 6892-2023《一般工业用铝及铝合金挤压型材》
底槽高≥38mm
底槽宽≥12.8mm
底槽厚≥1.3mm
3、卷帘铝材安装码
壁厚≥2.0mm，符合GB/T 6892-2023《一般工业用铝及铝合金挤压型材》标准
（四） 其他要求
1、消音条：底槽/杆后侧须配置防撞消音条，参数要求：Ｔ型，颜色：浅灰色，材料最薄处壁厚1.1mm,起窗帘撞击时消减噪音的作用。
2、拉珠：
（1）尾塞重量：≥32G。
（2）材质：PBT+PA+玻璃纤维。
（3）使用寿命：≧30000次。
（4）定位拉珠：珠子直径4.6mm，绳直径1.5 mm。
3、安装配件：
（1）不锈钢膨胀钉：碳、硫、磷、锰、硅、铬、镍含量符合如下标准(%)：
① C（%）0.07
② S（%）0.001
③ P（%）0.033
④ Mn（%）1.59
⑤ Si（%）0.36
⑥ Cr（%）13.06
⑦ Ni（%）1.33
4、安装位置：在保证卷帘安全使用的前提下，以甲方最终确认的安盐漂白色牢度》标准。</t>
  </si>
  <si>
    <t>百叶帘</t>
  </si>
  <si>
    <t>材质：铝合金
1、上下轨道材质符合《一般批发业用铝  及铝合金挤压型材》(GB/T 6892-2023)的标 准要求
2、工艺：电泳处理
3、叶片规格：加密，宽25mm~50mm,厚度≥ 0.5mm
4.切口平整，没有毛刺，光泽度高
5、制动：手动</t>
  </si>
  <si>
    <t>拉帘轨道</t>
  </si>
  <si>
    <t>窗帘轨道                                                                                                                                 1、轨道材质：铝合金                                                                                                           2、轨道材质符合《一般批发业用铝及铝合金挤压型材》(GB/T 6892-2023)的标准要求                                                                                                                                                                                    3、符合《变形铝及铝合金化学成分》;(si)%0.2~0.6,(Fe)%≤0.30,(Cu)%≤0.04,(Mn)%≤0.02,(Mg)%0.45~0.9,(Cr)%≤0.015,(Zn)%≤0.10,(Ti) %≤0.02(测试方法：GB/T 20975.25-2020)注 ：                                                       4.轨道外观质量：不准许有皱纹和腐蚀斑点存在；角度偏差(度)≤0.1、平面间隙
(mm)≤0.1、扭拧度(mm)≤0.3、切斜度(度)≤0.1、抗拉强度(Rm):N/mm²≥200、规定非比例延伸强度(Rp0.2):N/m m²≥180、断后伸长率(A50mm):%≥11                                                                                                               5、轨道滑动流畅，静音效果较好                                                                                           6、轨道规格：宽≥28mm、高≥24.5mm,壁厚≥1.25mm</t>
  </si>
  <si>
    <t>电动窗帘导轨</t>
  </si>
  <si>
    <t>（一）产品整体要求
1、采用优质铝合金材料，高光电泳加工工艺，上色均匀。
2、U型波浪槽设计，减少共振，消除噪音。
3、锌合金封口，全包裹设计，不老化、不氧化，抗脱落设计
4、304不锈钢静音滚珠设计，经久耐用不生锈。
5、轮片POM+静音软胶，耐磨POM赛钢料包裹。
（二）技术要求
1、导轨壁厚：壁厚≥2.0mm；
检验依据 GB/T 6892-2015《一般工业用铝及铝合金挤压型材》
2、导轨安装码壁厚：壁厚≥2.5mm；
检验依据 GB/T 6892-2015《一般工业用铝及铝合金挤压型材》</t>
  </si>
  <si>
    <t>电机</t>
  </si>
  <si>
    <t>个</t>
  </si>
  <si>
    <t>1、电机采用静音电机，电压220V，空载噪音≤30分贝；保护等级IP20或更优等级，有过热温度保护；
2、单电机最大承载力≥50kg；可有≥2种调速；
3、自动离合系统电机输出轴自动脱离，使用户在断电时也可手动打开窗帘。
4、遥控器为多频道模式，可以同时控制多套窗帘同时运行                                                        5、参考品牌：杜亚、乐屋、奥科
6、质保期：自验收合格之日起5年。</t>
  </si>
  <si>
    <t>卷帘电机</t>
  </si>
  <si>
    <t>套</t>
  </si>
  <si>
    <t>智能电动管状电机（含配套遥控器）                                                                       1、运行分贝：≤36dB (A)
2、输入电压：100-240V
3、额定频率：50Hz
4、热分级：F
5、额定转速：26r/min
6、额定扭矩：5.0N.m
7、工作制：S2 6min
8、卷帘卷管：外径直径尺寸≥5.0mm、壁厚≥1.9mm，外观质量：表面无电灼伤、氧化膜脱落等影响使用的缺陷，铝合金符合 (GB/T 6892-2023) 的标准要求                                                                                9、参考品牌：杜亚、乐屋、奥科
10、质保期：自验收合格之日起5年。</t>
  </si>
  <si>
    <t>合计</t>
  </si>
  <si>
    <t>南方医科大学南方医院广州肾脏病医学中心窗帘项目明细表</t>
  </si>
  <si>
    <t>楼层</t>
  </si>
  <si>
    <t>区域</t>
  </si>
  <si>
    <t>规格(W*D*H)mm</t>
  </si>
  <si>
    <t>单价报价       （人民币 元）</t>
  </si>
  <si>
    <t>用量（米）</t>
  </si>
  <si>
    <t>分项总报价      （人民币 元）</t>
  </si>
  <si>
    <t>二层</t>
  </si>
  <si>
    <t>诊室（一）</t>
  </si>
  <si>
    <t>医用隔帘     型号：特密-9（绿）</t>
  </si>
  <si>
    <t>L3000*H2400</t>
  </si>
  <si>
    <t>组</t>
  </si>
  <si>
    <t>诊室（二）</t>
  </si>
  <si>
    <t>B超室1.2.3.4</t>
  </si>
  <si>
    <t>L4900*H2400</t>
  </si>
  <si>
    <t>三层</t>
  </si>
  <si>
    <t>VIP室1-4</t>
  </si>
  <si>
    <t>医用隔帘   型号：特密-23（米黄）</t>
  </si>
  <si>
    <t>院士诊室医用隔帘</t>
  </si>
  <si>
    <t>诊室1-3</t>
  </si>
  <si>
    <t>内皮功能检查室</t>
  </si>
  <si>
    <t>动态心电图室</t>
  </si>
  <si>
    <t>七层</t>
  </si>
  <si>
    <t>VIP病房</t>
  </si>
  <si>
    <t>医用隔帘    型号：高精密加厚-37（蓝）</t>
  </si>
  <si>
    <t>急救室</t>
  </si>
  <si>
    <t>病房</t>
  </si>
  <si>
    <t>八层</t>
  </si>
  <si>
    <t>PET换管室</t>
  </si>
  <si>
    <t>APD</t>
  </si>
  <si>
    <t>九层</t>
  </si>
  <si>
    <t>十层</t>
  </si>
  <si>
    <t>HDL病房</t>
  </si>
  <si>
    <t>HDL病房（单人间）</t>
  </si>
  <si>
    <t>十一层</t>
  </si>
  <si>
    <t>B超室</t>
  </si>
  <si>
    <t>十二层</t>
  </si>
  <si>
    <t>窗帘单价                （人民币 元）</t>
  </si>
  <si>
    <t>窗帘用量（米）</t>
  </si>
  <si>
    <t>窗帘小计        （人民币 元）</t>
  </si>
  <si>
    <t>轨道单价   （人民币 元）</t>
  </si>
  <si>
    <t>轨道用量（米）</t>
  </si>
  <si>
    <t>轨道小计   （人民币 元）</t>
  </si>
  <si>
    <t>一层</t>
  </si>
  <si>
    <t>更衣室</t>
  </si>
  <si>
    <t>拉帘          型号：太古里-13浅卡其色</t>
  </si>
  <si>
    <t>L1050*H1800</t>
  </si>
  <si>
    <t>女更衣室</t>
  </si>
  <si>
    <t>男更衣室</t>
  </si>
  <si>
    <t>四层</t>
  </si>
  <si>
    <t>透析治疗区</t>
  </si>
  <si>
    <t>拉帘          型号：太古里-14卡其色</t>
  </si>
  <si>
    <t>L74700*H2800</t>
  </si>
  <si>
    <t>VIP透析区</t>
  </si>
  <si>
    <t>L28500*H2800</t>
  </si>
  <si>
    <t>值班室</t>
  </si>
  <si>
    <t>L3100*H2800</t>
  </si>
  <si>
    <t>L1400*H1800</t>
  </si>
  <si>
    <t>五层</t>
  </si>
  <si>
    <t>L24900*H2800</t>
  </si>
  <si>
    <t>拉帘          型号：太古里-18蒂芙尼蓝</t>
  </si>
  <si>
    <t>L3200*H2800</t>
  </si>
  <si>
    <t>男更/女更</t>
  </si>
  <si>
    <t>L1100*H1800    L860*H1800</t>
  </si>
  <si>
    <t>男值班室</t>
  </si>
  <si>
    <t>L6200*H2800</t>
  </si>
  <si>
    <t>住院总值班室</t>
  </si>
  <si>
    <t>L3650*H2800</t>
  </si>
  <si>
    <t>二线值班室</t>
  </si>
  <si>
    <t>L2450*H2800</t>
  </si>
  <si>
    <t>女值班室</t>
  </si>
  <si>
    <t>L7500*H2800</t>
  </si>
  <si>
    <t>L4600*H2800   L3700*H2800</t>
  </si>
  <si>
    <t>L2300*H2800</t>
  </si>
  <si>
    <t>男值班</t>
  </si>
  <si>
    <t xml:space="preserve">L1200*H1800    </t>
  </si>
  <si>
    <t>女值班</t>
  </si>
  <si>
    <t>L2400*H2800</t>
  </si>
  <si>
    <t>L5200*H2800</t>
  </si>
  <si>
    <t>L1200*H1800</t>
  </si>
  <si>
    <t>L3000*H2800</t>
  </si>
  <si>
    <t>L1300*H1800</t>
  </si>
  <si>
    <t>三线值班室</t>
  </si>
  <si>
    <t>三线值班室拉帘</t>
  </si>
  <si>
    <t>十三层</t>
  </si>
  <si>
    <t>院士办公室</t>
  </si>
  <si>
    <t>电动拉帘          型号：太古里-14卡其色</t>
  </si>
  <si>
    <t>L5900*H2800  L7400*H2800</t>
  </si>
  <si>
    <t>十四层</t>
  </si>
  <si>
    <t>男更衣室/女更衣室</t>
  </si>
  <si>
    <t>L1000*H1800</t>
  </si>
  <si>
    <t>十六层</t>
  </si>
  <si>
    <t>小型培训室</t>
  </si>
  <si>
    <t>L7600*H2800    L4000*H2800</t>
  </si>
  <si>
    <t>十七层</t>
  </si>
  <si>
    <t>L1000*H2800</t>
  </si>
  <si>
    <t>二十层</t>
  </si>
  <si>
    <t>主任办公室</t>
  </si>
  <si>
    <t>L3600*H2800    L4200*H2800</t>
  </si>
  <si>
    <t>助手办公室</t>
  </si>
  <si>
    <t>L3600*H2800    L3100*H2800</t>
  </si>
  <si>
    <t>总计</t>
  </si>
  <si>
    <t>窗帘小计        （人民币元）</t>
  </si>
  <si>
    <t>轨道单价   （人民币元）</t>
  </si>
  <si>
    <t>院士诊室</t>
  </si>
  <si>
    <t>纱帘          型号：金刚纱G22060-01  米白色</t>
  </si>
  <si>
    <t>L4000*H2800</t>
  </si>
  <si>
    <t>电动纱帘       型号：金刚纱G22060-01   米白色</t>
  </si>
  <si>
    <t>用量        （平方米）</t>
  </si>
  <si>
    <t>单价报价  （人民币 元）</t>
  </si>
  <si>
    <t>分项总报价（人民币 元）</t>
  </si>
  <si>
    <t>挂号收费大厅</t>
  </si>
  <si>
    <t>遮光卷帘                   型号： S6609米白银色</t>
  </si>
  <si>
    <t>L7200*H3500</t>
  </si>
  <si>
    <t>取药等候区</t>
  </si>
  <si>
    <t>药房</t>
  </si>
  <si>
    <t>散装间</t>
  </si>
  <si>
    <t>男卫</t>
  </si>
  <si>
    <t>L2200+L1500*H3500</t>
  </si>
  <si>
    <t>女卫</t>
  </si>
  <si>
    <t>L800*H3500</t>
  </si>
  <si>
    <t>洗消污存</t>
  </si>
  <si>
    <t>L1600*H3500</t>
  </si>
  <si>
    <t>设备房</t>
  </si>
  <si>
    <t>L1200*H3500</t>
  </si>
  <si>
    <t>控制室</t>
  </si>
  <si>
    <t>设备间</t>
  </si>
  <si>
    <t>L7200*H3500；L6800*H3500</t>
  </si>
  <si>
    <t>注射间</t>
  </si>
  <si>
    <t>L3500*H3500</t>
  </si>
  <si>
    <t>消防控制室</t>
  </si>
  <si>
    <t>北中庭等候区</t>
  </si>
  <si>
    <t>L22000*H3500</t>
  </si>
  <si>
    <t>普通门诊等候区</t>
  </si>
  <si>
    <t>L7600*H2800</t>
  </si>
  <si>
    <t>L21000*H2800</t>
  </si>
  <si>
    <t>女卫/女更</t>
  </si>
  <si>
    <t>患者走廊</t>
  </si>
  <si>
    <t>L2900*H2400</t>
  </si>
  <si>
    <t>男更/男卫</t>
  </si>
  <si>
    <t>新风机房</t>
  </si>
  <si>
    <t>L4400*H2800</t>
  </si>
  <si>
    <t>采血等候区</t>
  </si>
  <si>
    <t>L7400*H2800</t>
  </si>
  <si>
    <t>采血操作区</t>
  </si>
  <si>
    <t>L8600*H2800</t>
  </si>
  <si>
    <t>样本收集区</t>
  </si>
  <si>
    <t>L5600*H2800</t>
  </si>
  <si>
    <t>物流集中接收间</t>
  </si>
  <si>
    <t>L3500*H2800</t>
  </si>
  <si>
    <t>无障碍厕所</t>
  </si>
  <si>
    <t>L1200*H2800</t>
  </si>
  <si>
    <t>库房</t>
  </si>
  <si>
    <t>污存消洗</t>
  </si>
  <si>
    <t>L2200*H2800</t>
  </si>
  <si>
    <t>检验室通道</t>
  </si>
  <si>
    <t>L5900*H2800</t>
  </si>
  <si>
    <t>仪器室</t>
  </si>
  <si>
    <t>L6000*H2800</t>
  </si>
  <si>
    <t>报告室</t>
  </si>
  <si>
    <t>L2900*H2800</t>
  </si>
  <si>
    <t>L4200*H2800       L5400*H2800        L2600*H2800       L3000*H2800</t>
  </si>
  <si>
    <t>护士站</t>
  </si>
  <si>
    <t>L3600*H2800</t>
  </si>
  <si>
    <t>VIP等候区</t>
  </si>
  <si>
    <t>L3100*H2400</t>
  </si>
  <si>
    <t>患者等候区走廊</t>
  </si>
  <si>
    <t>L5100*H2800</t>
  </si>
  <si>
    <t>男卫（医）</t>
  </si>
  <si>
    <t>女卫（医）</t>
  </si>
  <si>
    <t>随访中心等候区走廊</t>
  </si>
  <si>
    <t>L2800*H2800</t>
  </si>
  <si>
    <t>新风机房/仪器室</t>
  </si>
  <si>
    <t>L4400*H2800 L3500*H2800</t>
  </si>
  <si>
    <t>诊室</t>
  </si>
  <si>
    <t>L3450*H2800     L4000*H2800    L3900*H2800</t>
  </si>
  <si>
    <t>随访中心等候区</t>
  </si>
  <si>
    <t>电镜诊断</t>
  </si>
  <si>
    <t>投射式电子显微镜</t>
  </si>
  <si>
    <t>L4900*H2800</t>
  </si>
  <si>
    <t>扫描式电子显微镜</t>
  </si>
  <si>
    <t>样本存放</t>
  </si>
  <si>
    <t>男卫/女卫</t>
  </si>
  <si>
    <t>L3500*H2800   L4400*H2800</t>
  </si>
  <si>
    <t>功能检查等候区走廊</t>
  </si>
  <si>
    <t>L2800*H2800    L3200*H2800</t>
  </si>
  <si>
    <t>排烟机房</t>
  </si>
  <si>
    <t>L6000*H2800  L2200*H2800</t>
  </si>
  <si>
    <t>眼底镜室</t>
  </si>
  <si>
    <t>L2600*H2800</t>
  </si>
  <si>
    <t>心肺功能检测室</t>
  </si>
  <si>
    <t>动态血压室</t>
  </si>
  <si>
    <t>患教室</t>
  </si>
  <si>
    <t>L4650*H2800</t>
  </si>
  <si>
    <t>L4300*H2800</t>
  </si>
  <si>
    <t>配餐间</t>
  </si>
  <si>
    <t>教授办</t>
  </si>
  <si>
    <t>男更</t>
  </si>
  <si>
    <t>女更</t>
  </si>
  <si>
    <t>配液室</t>
  </si>
  <si>
    <t>水处理</t>
  </si>
  <si>
    <t>L8400*H2800</t>
  </si>
  <si>
    <t>干湿库房</t>
  </si>
  <si>
    <t>L7200*H2800</t>
  </si>
  <si>
    <t>医护走廊</t>
  </si>
  <si>
    <t>L1800*H2800</t>
  </si>
  <si>
    <t>被服</t>
  </si>
  <si>
    <t>L900*H2800</t>
  </si>
  <si>
    <t>污洗</t>
  </si>
  <si>
    <t>污物暂存</t>
  </si>
  <si>
    <t>污物处理</t>
  </si>
  <si>
    <t>会议室</t>
  </si>
  <si>
    <t>L4100*H2800</t>
  </si>
  <si>
    <t>L4500*H2800</t>
  </si>
  <si>
    <t>水处理干湿库房</t>
  </si>
  <si>
    <t>L6700*H2800</t>
  </si>
  <si>
    <t>VIP病房洗手间</t>
  </si>
  <si>
    <t>L700*H2400</t>
  </si>
  <si>
    <t>L1850*H2800    L1250*H2800</t>
  </si>
  <si>
    <t>处置室</t>
  </si>
  <si>
    <t>治疗室</t>
  </si>
  <si>
    <t>接待室</t>
  </si>
  <si>
    <t>副主任办公室</t>
  </si>
  <si>
    <t>L2600*H2800   L2300*H2800</t>
  </si>
  <si>
    <t>护士长办公室</t>
  </si>
  <si>
    <t>教授办公室</t>
  </si>
  <si>
    <t>L2600*H2800    L2300*H2800</t>
  </si>
  <si>
    <t>资料室</t>
  </si>
  <si>
    <t>医生办</t>
  </si>
  <si>
    <t>L6400*H2800</t>
  </si>
  <si>
    <t>门诊</t>
  </si>
  <si>
    <t>L2900*H2800   L2050*H2800   L2450*H2800</t>
  </si>
  <si>
    <t>CAPD</t>
  </si>
  <si>
    <t>L2250*H2800   L4250*H2800</t>
  </si>
  <si>
    <t>L8200*H2800</t>
  </si>
  <si>
    <t>L700*H2800</t>
  </si>
  <si>
    <t>开水间</t>
  </si>
  <si>
    <t>工具间</t>
  </si>
  <si>
    <t>VIP病房卫生间</t>
  </si>
  <si>
    <t>L1700*H2800</t>
  </si>
  <si>
    <t>仪器房</t>
  </si>
  <si>
    <t>L4600*H2800</t>
  </si>
  <si>
    <t>消耗品库房</t>
  </si>
  <si>
    <t>L5400*H2800</t>
  </si>
  <si>
    <t>L2500*H2800</t>
  </si>
  <si>
    <t>随访室</t>
  </si>
  <si>
    <t>女卫/男卫</t>
  </si>
  <si>
    <t>L2600*H2800     L2300*H2800</t>
  </si>
  <si>
    <t>L2700*H2800   L2200*H2800</t>
  </si>
  <si>
    <t>样本暂存</t>
  </si>
  <si>
    <t>L4800*H2800</t>
  </si>
  <si>
    <t>L4340*H2800</t>
  </si>
  <si>
    <t>L2080*H2800</t>
  </si>
  <si>
    <t>L1850*H2800</t>
  </si>
  <si>
    <t>示教室</t>
  </si>
  <si>
    <t>L5300*H2800    L7600*H2800</t>
  </si>
  <si>
    <t>谈话室</t>
  </si>
  <si>
    <t>仪器设备间</t>
  </si>
  <si>
    <t>L3200*H2400</t>
  </si>
  <si>
    <t>物品耗材间</t>
  </si>
  <si>
    <t>L2100*H2800</t>
  </si>
  <si>
    <t>L4700*H2800</t>
  </si>
  <si>
    <t>L2700*H2800</t>
  </si>
  <si>
    <t>院士办公室卫生间</t>
  </si>
  <si>
    <t>秘书办公室</t>
  </si>
  <si>
    <t>L5200*H2800   L2300*H2800</t>
  </si>
  <si>
    <t>资料文印室</t>
  </si>
  <si>
    <t>L3700*H2800</t>
  </si>
  <si>
    <t>前厅</t>
  </si>
  <si>
    <t>L7650*H2800   L6900*H2800</t>
  </si>
  <si>
    <t>荣誉展示区</t>
  </si>
  <si>
    <t>L5600*H2800    L7600*H2800</t>
  </si>
  <si>
    <t>资料档案室</t>
  </si>
  <si>
    <t>L3700*H2800 L7600*H2800 L7600*H2800</t>
  </si>
  <si>
    <t>储存室</t>
  </si>
  <si>
    <t>L3900*H2800</t>
  </si>
  <si>
    <t>L4300*H2800  L3100*H2800</t>
  </si>
  <si>
    <t>数据中心展示间</t>
  </si>
  <si>
    <t>L7600*H2800  L8800*H2800</t>
  </si>
  <si>
    <t>远程会诊中心</t>
  </si>
  <si>
    <t>L7600*H2800  L5100*H2800</t>
  </si>
  <si>
    <t>研究生实习室</t>
  </si>
  <si>
    <t>L7600*H2800 L7600*H2800 L2300*H2800 L2300*H2800</t>
  </si>
  <si>
    <t>PI办公室</t>
  </si>
  <si>
    <t>协调员办公室</t>
  </si>
  <si>
    <t>L1018*H2800  L7556*H2800</t>
  </si>
  <si>
    <t>走道</t>
  </si>
  <si>
    <t>储物间</t>
  </si>
  <si>
    <t>L2816*H2800</t>
  </si>
  <si>
    <t>L3316*H2800   L1635*H2800  L1065*H2800</t>
  </si>
  <si>
    <t>博士后办公室</t>
  </si>
  <si>
    <t>L6100*H2800  L7700*H2800</t>
  </si>
  <si>
    <t>管理员办公室</t>
  </si>
  <si>
    <t>数据标准化处理室</t>
  </si>
  <si>
    <t>L12400*H2800</t>
  </si>
  <si>
    <t>数据标准化处理室（一）</t>
  </si>
  <si>
    <t>L16600*H2800</t>
  </si>
  <si>
    <t>数据标准化处理室（二）</t>
  </si>
  <si>
    <t>L12700*H2800</t>
  </si>
  <si>
    <t>数据统计分析室（三）</t>
  </si>
  <si>
    <t>L7900*H2800</t>
  </si>
  <si>
    <t>L3200*H2800  L4500*H2800</t>
  </si>
  <si>
    <t>十五层</t>
  </si>
  <si>
    <t>茶水/配餐间</t>
  </si>
  <si>
    <t>L7600*H2800  L3700*H2800</t>
  </si>
  <si>
    <t>L5000*H2800</t>
  </si>
  <si>
    <t>PI办公室-1-2</t>
  </si>
  <si>
    <t>L2000*H2800    L2700*H2800</t>
  </si>
  <si>
    <t>PI办公室-3</t>
  </si>
  <si>
    <t>研究生办公室</t>
  </si>
  <si>
    <t>L3750*H2800</t>
  </si>
  <si>
    <t>数据核对采集办公室</t>
  </si>
  <si>
    <t>L2750*H2800</t>
  </si>
  <si>
    <t>诊断室</t>
  </si>
  <si>
    <t>电动遮光卷帘                   型号： S6609米白银色</t>
  </si>
  <si>
    <t>L4580*H2800</t>
  </si>
  <si>
    <t>基因诊断</t>
  </si>
  <si>
    <t>L2250*H2800</t>
  </si>
  <si>
    <t>显微切割</t>
  </si>
  <si>
    <t>数字扫描</t>
  </si>
  <si>
    <t>包埋盒切片准备室</t>
  </si>
  <si>
    <t>石蜡切片/冰冻切片</t>
  </si>
  <si>
    <t>L3850*H2800</t>
  </si>
  <si>
    <t>脱水/包埋室</t>
  </si>
  <si>
    <t>染色室</t>
  </si>
  <si>
    <t>试剂配置室</t>
  </si>
  <si>
    <t>L4291*H2800</t>
  </si>
  <si>
    <t>蜡块/备用片储存室</t>
  </si>
  <si>
    <t>L3608*H2800   L1239*H2800</t>
  </si>
  <si>
    <t>L2900*H2800   L3100*H2800    L3600*H2800</t>
  </si>
  <si>
    <t>废弃化学品</t>
  </si>
  <si>
    <t>L3550*H2800</t>
  </si>
  <si>
    <t>试剂室</t>
  </si>
  <si>
    <t>冰冻切片储藏室</t>
  </si>
  <si>
    <t>L5075*H2800</t>
  </si>
  <si>
    <t>脱水染色室</t>
  </si>
  <si>
    <t>L5555*H2800</t>
  </si>
  <si>
    <t>电镜仪器室</t>
  </si>
  <si>
    <t>L2820*H2800</t>
  </si>
  <si>
    <t>电镜切片室</t>
  </si>
  <si>
    <t>L5025*H2800</t>
  </si>
  <si>
    <t>实验室</t>
  </si>
  <si>
    <t>纸质档案储存室</t>
  </si>
  <si>
    <t>L11200*H2800</t>
  </si>
  <si>
    <t>信息室</t>
  </si>
  <si>
    <t>数据协调办公室</t>
  </si>
  <si>
    <t>L2650*H2800</t>
  </si>
  <si>
    <t>医生办公室</t>
  </si>
  <si>
    <t>L2280*H2800</t>
  </si>
  <si>
    <t>宣教/患者等候室</t>
  </si>
  <si>
    <t>L3300*H2800</t>
  </si>
  <si>
    <t>L5500*H2800    L3050*H2800    L3150*H2800</t>
  </si>
  <si>
    <t>L4950*H2800</t>
  </si>
  <si>
    <t>数据处理室</t>
  </si>
  <si>
    <t>L4550*H2800</t>
  </si>
  <si>
    <t>红细胞位相室</t>
  </si>
  <si>
    <t>L2950*H2800</t>
  </si>
  <si>
    <t>大实验区-2</t>
  </si>
  <si>
    <t>L6850*H2800  L7600*H2800   L2450*H2800</t>
  </si>
  <si>
    <t>常温试剂储存室</t>
  </si>
  <si>
    <t>L1950*H2800</t>
  </si>
  <si>
    <t>试剂准备</t>
  </si>
  <si>
    <t>标本制备</t>
  </si>
  <si>
    <t>扩增</t>
  </si>
  <si>
    <t>产物分析</t>
  </si>
  <si>
    <t>L2850*H2800</t>
  </si>
  <si>
    <t>洁净室</t>
  </si>
  <si>
    <t>L2000*H2800</t>
  </si>
  <si>
    <t>分析</t>
  </si>
  <si>
    <t>L6236*H2800   L1280*H2800</t>
  </si>
  <si>
    <t>L2500*H2800    L2400*H2800</t>
  </si>
  <si>
    <t>L4000*H2800    L4300*H2800</t>
  </si>
  <si>
    <t>实验耗材</t>
  </si>
  <si>
    <t>L8250*H2800</t>
  </si>
  <si>
    <t>大实验区-1</t>
  </si>
  <si>
    <t>L19250*H2800</t>
  </si>
  <si>
    <t>离心机房</t>
  </si>
  <si>
    <t>L850*H2800</t>
  </si>
  <si>
    <t>气瓶间</t>
  </si>
  <si>
    <t>L2050*H2800</t>
  </si>
  <si>
    <t>质谱室</t>
  </si>
  <si>
    <t>数据处理间</t>
  </si>
  <si>
    <t>高效液相色溥仪</t>
  </si>
  <si>
    <t>前处理</t>
  </si>
  <si>
    <t>L3399*H2800    L1280*H2800</t>
  </si>
  <si>
    <t>L4572*H2800</t>
  </si>
  <si>
    <t>十八层</t>
  </si>
  <si>
    <t>工作人员办公室</t>
  </si>
  <si>
    <t>L5950*H2800</t>
  </si>
  <si>
    <t>L2650*H2800   L2550*H2800   L2400*H2800  L2950*H2800   L2950*H2800   L2400*H2800   L2875*H2800</t>
  </si>
  <si>
    <t>开放实验室</t>
  </si>
  <si>
    <t>L19850*H2800</t>
  </si>
  <si>
    <t>办公室</t>
  </si>
  <si>
    <t>L4900*H2800    L3600*H2800</t>
  </si>
  <si>
    <t>L2000*H2800    L2100*H2800    L2400*H2800</t>
  </si>
  <si>
    <t>L3600*H2800  L3200*H2800</t>
  </si>
  <si>
    <t>L3050*H2800</t>
  </si>
  <si>
    <t>洁净机房</t>
  </si>
  <si>
    <t>L6450*H2800</t>
  </si>
  <si>
    <t>研究生学习区2</t>
  </si>
  <si>
    <t>细胞间1</t>
  </si>
  <si>
    <t>细胞间2</t>
  </si>
  <si>
    <t>L7450*H2800</t>
  </si>
  <si>
    <t>液氮室</t>
  </si>
  <si>
    <t>L1450*H2800</t>
  </si>
  <si>
    <t>细胞间3</t>
  </si>
  <si>
    <t>诊断室/阅片室</t>
  </si>
  <si>
    <t>L2550*H2800</t>
  </si>
  <si>
    <t>病理室</t>
  </si>
  <si>
    <t>储物室</t>
  </si>
  <si>
    <t>制冰间</t>
  </si>
  <si>
    <t>细菌培养室</t>
  </si>
  <si>
    <t>耗材室</t>
  </si>
  <si>
    <t>L3340*H2800</t>
  </si>
  <si>
    <t>L8320*H2800</t>
  </si>
  <si>
    <t>耗材室2</t>
  </si>
  <si>
    <t>L1650*H2800</t>
  </si>
  <si>
    <t>十九层</t>
  </si>
  <si>
    <t>等候区</t>
  </si>
  <si>
    <t>L2650*H2800   L2550*H2800   L2400*H2800   L2750*H2800    L2825*H2800   L2425*H2800</t>
  </si>
  <si>
    <t>L15785*H2800</t>
  </si>
  <si>
    <t>L3600*H2800   L3200*H2800</t>
  </si>
  <si>
    <t>L4200*H2800    L1950*H2800</t>
  </si>
  <si>
    <t>L2350*H2800   L4575*H2800</t>
  </si>
  <si>
    <t>液氮罐室1</t>
  </si>
  <si>
    <t>L5350*H2800</t>
  </si>
  <si>
    <t>流式细胞仪室</t>
  </si>
  <si>
    <t>L2025*H2800   L550*H2800    L3480*H2800 L3330*H2800</t>
  </si>
  <si>
    <t>L2575*H2800</t>
  </si>
  <si>
    <t>小动物B超室</t>
  </si>
  <si>
    <t>L3730*H2800</t>
  </si>
  <si>
    <t>L3575*H2800</t>
  </si>
  <si>
    <t>L4575*H2800</t>
  </si>
  <si>
    <t>大仪器室</t>
  </si>
  <si>
    <t>L8425*H2800</t>
  </si>
  <si>
    <t>小仪器室1</t>
  </si>
  <si>
    <t>L4200*H2800</t>
  </si>
  <si>
    <t>PCR</t>
  </si>
  <si>
    <t>L2100*H2800   L2000*H2800</t>
  </si>
  <si>
    <t>L2875*H2800</t>
  </si>
  <si>
    <t>L4950*H2800   L3600*H2800</t>
  </si>
  <si>
    <t>二十二层</t>
  </si>
  <si>
    <t>展览厅</t>
  </si>
  <si>
    <t>L7600*H4200   L9000*H4200 L5600*H4200 L2900*H4200</t>
  </si>
  <si>
    <t>报告厅</t>
  </si>
  <si>
    <t>L7600*H4200</t>
  </si>
  <si>
    <t>L5800*H4200</t>
  </si>
  <si>
    <t>贵宾厅</t>
  </si>
  <si>
    <t>L3300*H4200</t>
  </si>
  <si>
    <t>百叶帘米白色</t>
  </si>
  <si>
    <t>L1500*H2800</t>
  </si>
  <si>
    <t>L3000*H2800   L6000*H2800</t>
  </si>
  <si>
    <t>开放交流区</t>
  </si>
  <si>
    <t>PCR室</t>
  </si>
  <si>
    <t>L1500*H2800    L3000*H2800</t>
  </si>
  <si>
    <t>百叶卷帘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</si>
</sst>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d\/mmm\/yy"/>
    <numFmt numFmtId="178" formatCode="0.00_ "/>
    <numFmt numFmtId="179" formatCode="0.0_ "/>
    <numFmt numFmtId="180" formatCode="&quot;￥&quot;#,##0.00_);[Red]\(&quot;￥&quot;#,##0.00\)"/>
    <numFmt numFmtId="181" formatCode="0_ "/>
  </numFmts>
  <fonts count="76">
    <font>
      <sz val="11"/>
      <color indexed="8"/>
      <name val="宋体"/>
      <charset val="134"/>
    </font>
    <font>
      <sz val="28"/>
      <color indexed="8"/>
      <name val="微软雅黑"/>
      <charset val="134"/>
    </font>
    <font>
      <sz val="28"/>
      <color indexed="8"/>
      <name val="宋体"/>
      <charset val="134"/>
    </font>
    <font>
      <b/>
      <sz val="28"/>
      <color indexed="8"/>
      <name val="微软雅黑"/>
      <charset val="134"/>
    </font>
    <font>
      <b/>
      <sz val="28"/>
      <color indexed="8"/>
      <name val="宋体"/>
      <charset val="134"/>
    </font>
    <font>
      <b/>
      <sz val="28"/>
      <color theme="1"/>
      <name val="宋体"/>
      <charset val="134"/>
    </font>
    <font>
      <b/>
      <sz val="26"/>
      <color indexed="8"/>
      <name val="宋体"/>
      <charset val="134"/>
    </font>
    <font>
      <sz val="18"/>
      <color indexed="8"/>
      <name val="微软雅黑"/>
      <charset val="134"/>
    </font>
    <font>
      <b/>
      <sz val="36"/>
      <color indexed="8"/>
      <name val="宋体"/>
      <charset val="134"/>
    </font>
    <font>
      <b/>
      <sz val="22"/>
      <color theme="1"/>
      <name val="宋体"/>
      <charset val="134"/>
    </font>
    <font>
      <b/>
      <sz val="22"/>
      <color indexed="8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28"/>
      <name val="宋体"/>
      <charset val="134"/>
    </font>
    <font>
      <b/>
      <sz val="20"/>
      <color theme="1"/>
      <name val="宋体"/>
      <charset val="134"/>
    </font>
    <font>
      <b/>
      <sz val="18"/>
      <name val="宋体"/>
      <charset val="134"/>
    </font>
    <font>
      <sz val="16"/>
      <name val="宋体"/>
      <charset val="134"/>
    </font>
    <font>
      <b/>
      <sz val="22"/>
      <name val="宋体"/>
      <charset val="134"/>
    </font>
    <font>
      <sz val="14"/>
      <name val="宋体"/>
      <charset val="134"/>
    </font>
    <font>
      <sz val="18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  <font>
      <sz val="10"/>
      <name val="Geneva"/>
      <charset val="134"/>
    </font>
    <font>
      <sz val="10"/>
      <name val="Helv"/>
      <charset val="134"/>
    </font>
    <font>
      <sz val="12"/>
      <name val="Times New Roman"/>
      <charset val="134"/>
    </font>
    <font>
      <sz val="9"/>
      <color indexed="10"/>
      <name val="Geneva"/>
      <charset val="134"/>
    </font>
    <font>
      <sz val="11"/>
      <color indexed="8"/>
      <name val="Calibri"/>
      <charset val="134"/>
    </font>
    <font>
      <sz val="11"/>
      <color indexed="8"/>
      <name val="Tahoma"/>
      <charset val="134"/>
    </font>
    <font>
      <sz val="11"/>
      <color indexed="16"/>
      <name val="宋体"/>
      <charset val="134"/>
    </font>
    <font>
      <sz val="1"/>
      <name val="宋体"/>
      <charset val="134"/>
    </font>
    <font>
      <sz val="11"/>
      <color indexed="9"/>
      <name val="Calibri"/>
      <charset val="134"/>
    </font>
    <font>
      <sz val="11"/>
      <color indexed="9"/>
      <name val="Tahoma"/>
      <charset val="134"/>
    </font>
    <font>
      <sz val="11"/>
      <color indexed="42"/>
      <name val="宋体"/>
      <charset val="134"/>
    </font>
    <font>
      <sz val="11"/>
      <color indexed="9"/>
      <name val="宋体"/>
      <charset val="134"/>
    </font>
    <font>
      <sz val="12"/>
      <color indexed="8"/>
      <name val="宋体"/>
      <charset val="134"/>
    </font>
    <font>
      <sz val="12"/>
      <color indexed="9"/>
      <name val="宋体"/>
      <charset val="134"/>
    </font>
    <font>
      <b/>
      <sz val="11"/>
      <color indexed="52"/>
      <name val="Calibri"/>
      <charset val="134"/>
    </font>
    <font>
      <sz val="11"/>
      <color indexed="62"/>
      <name val="Calibri"/>
      <charset val="134"/>
    </font>
    <font>
      <b/>
      <sz val="12"/>
      <name val="Arial"/>
      <charset val="134"/>
    </font>
    <font>
      <sz val="8"/>
      <name val="Arial"/>
      <charset val="134"/>
    </font>
    <font>
      <sz val="12"/>
      <name val="Helv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1"/>
      <color indexed="63"/>
      <name val="Calibri"/>
      <charset val="134"/>
    </font>
    <font>
      <b/>
      <sz val="10"/>
      <name val="Tms Rmn"/>
      <charset val="134"/>
    </font>
    <font>
      <b/>
      <sz val="11"/>
      <color indexed="8"/>
      <name val="Calibri"/>
      <charset val="134"/>
    </font>
    <font>
      <b/>
      <sz val="15"/>
      <color indexed="56"/>
      <name val="Tahoma"/>
      <charset val="134"/>
    </font>
    <font>
      <b/>
      <sz val="13"/>
      <color indexed="56"/>
      <name val="Tahoma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sz val="11"/>
      <color indexed="20"/>
      <name val="宋体"/>
      <charset val="134"/>
    </font>
    <font>
      <sz val="11"/>
      <color indexed="20"/>
      <name val="Tahoma"/>
      <charset val="134"/>
    </font>
    <font>
      <sz val="12"/>
      <color indexed="16"/>
      <name val="宋体"/>
      <charset val="134"/>
    </font>
    <font>
      <sz val="12"/>
      <color indexed="20"/>
      <name val="宋体"/>
      <charset val="134"/>
    </font>
    <font>
      <sz val="11"/>
      <color indexed="17"/>
      <name val="Tahoma"/>
      <charset val="134"/>
    </font>
    <font>
      <sz val="12"/>
      <color indexed="17"/>
      <name val="宋体"/>
      <charset val="134"/>
    </font>
    <font>
      <sz val="11"/>
      <color indexed="17"/>
      <name val="宋体"/>
      <charset val="134"/>
    </font>
  </fonts>
  <fills count="5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</borders>
  <cellStyleXfs count="212">
    <xf numFmtId="0" fontId="0" fillId="0" borderId="0">
      <alignment vertical="center"/>
    </xf>
    <xf numFmtId="43" fontId="20" fillId="0" borderId="0" applyFont="0" applyFill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2" borderId="8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" borderId="11" applyNumberFormat="0" applyAlignment="0" applyProtection="0">
      <alignment vertical="center"/>
    </xf>
    <xf numFmtId="0" fontId="30" fillId="4" borderId="12" applyNumberFormat="0" applyAlignment="0" applyProtection="0">
      <alignment vertical="center"/>
    </xf>
    <xf numFmtId="0" fontId="31" fillId="4" borderId="11" applyNumberFormat="0" applyAlignment="0" applyProtection="0">
      <alignment vertical="center"/>
    </xf>
    <xf numFmtId="0" fontId="32" fillId="5" borderId="13" applyNumberFormat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40" fillId="0" borderId="0" applyBorder="0"/>
    <xf numFmtId="0" fontId="40" fillId="0" borderId="0" applyBorder="0">
      <alignment vertical="center"/>
    </xf>
    <xf numFmtId="0" fontId="41" fillId="0" borderId="0" applyProtection="0">
      <alignment vertical="center"/>
    </xf>
    <xf numFmtId="49" fontId="40" fillId="0" borderId="0" applyProtection="0">
      <alignment vertical="center"/>
    </xf>
    <xf numFmtId="0" fontId="42" fillId="0" borderId="0">
      <alignment vertical="center"/>
    </xf>
    <xf numFmtId="0" fontId="43" fillId="0" borderId="0"/>
    <xf numFmtId="0" fontId="43" fillId="0" borderId="0" applyProtection="0"/>
    <xf numFmtId="0" fontId="42" fillId="0" borderId="0"/>
    <xf numFmtId="0" fontId="42" fillId="0" borderId="0" applyProtection="0">
      <alignment vertical="center"/>
    </xf>
    <xf numFmtId="0" fontId="43" fillId="0" borderId="0" applyProtection="0">
      <alignment vertical="center"/>
    </xf>
    <xf numFmtId="0" fontId="44" fillId="0" borderId="0"/>
    <xf numFmtId="0" fontId="11" fillId="0" borderId="0"/>
    <xf numFmtId="0" fontId="40" fillId="0" borderId="0" applyProtection="0"/>
    <xf numFmtId="0" fontId="40" fillId="0" borderId="0" applyProtection="0">
      <alignment vertical="center"/>
    </xf>
    <xf numFmtId="0" fontId="40" fillId="0" borderId="0">
      <alignment vertical="center"/>
    </xf>
    <xf numFmtId="0" fontId="45" fillId="33" borderId="0" applyProtection="0">
      <alignment vertical="center"/>
    </xf>
    <xf numFmtId="0" fontId="45" fillId="34" borderId="0" applyProtection="0">
      <alignment vertical="center"/>
    </xf>
    <xf numFmtId="0" fontId="45" fillId="35" borderId="0" applyProtection="0">
      <alignment vertical="center"/>
    </xf>
    <xf numFmtId="0" fontId="45" fillId="36" borderId="0" applyProtection="0">
      <alignment vertical="center"/>
    </xf>
    <xf numFmtId="0" fontId="45" fillId="37" borderId="0" applyProtection="0">
      <alignment vertical="center"/>
    </xf>
    <xf numFmtId="0" fontId="45" fillId="38" borderId="0" applyProtection="0">
      <alignment vertical="center"/>
    </xf>
    <xf numFmtId="0" fontId="0" fillId="33" borderId="0" applyProtection="0">
      <alignment vertical="center"/>
    </xf>
    <xf numFmtId="0" fontId="46" fillId="33" borderId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0" fillId="39" borderId="0" applyProtection="0">
      <alignment vertical="center"/>
    </xf>
    <xf numFmtId="0" fontId="0" fillId="39" borderId="0" applyNumberFormat="0" applyBorder="0" applyAlignment="0" applyProtection="0">
      <alignment vertical="center"/>
    </xf>
    <xf numFmtId="0" fontId="47" fillId="39" borderId="0">
      <alignment vertical="center"/>
    </xf>
    <xf numFmtId="0" fontId="46" fillId="34" borderId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0" fillId="34" borderId="0" applyProtection="0">
      <alignment vertical="center"/>
    </xf>
    <xf numFmtId="0" fontId="47" fillId="38" borderId="0">
      <alignment vertical="center"/>
    </xf>
    <xf numFmtId="0" fontId="46" fillId="35" borderId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35" borderId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0" fillId="40" borderId="0" applyProtection="0">
      <alignment vertical="center"/>
    </xf>
    <xf numFmtId="0" fontId="47" fillId="40" borderId="0">
      <alignment vertical="center"/>
    </xf>
    <xf numFmtId="0" fontId="0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0" fillId="36" borderId="0" applyProtection="0">
      <alignment vertical="center"/>
    </xf>
    <xf numFmtId="0" fontId="0" fillId="37" borderId="0" applyProtection="0">
      <alignment vertical="center"/>
    </xf>
    <xf numFmtId="0" fontId="46" fillId="37" borderId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8" borderId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Protection="0">
      <alignment vertical="center"/>
    </xf>
    <xf numFmtId="0" fontId="45" fillId="41" borderId="0" applyProtection="0">
      <alignment vertical="center"/>
    </xf>
    <xf numFmtId="0" fontId="45" fillId="42" borderId="0" applyProtection="0">
      <alignment vertical="center"/>
    </xf>
    <xf numFmtId="0" fontId="45" fillId="43" borderId="0" applyProtection="0">
      <alignment vertical="center"/>
    </xf>
    <xf numFmtId="0" fontId="45" fillId="44" borderId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0" fillId="45" borderId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3" borderId="0" applyProtection="0">
      <alignment vertical="center"/>
    </xf>
    <xf numFmtId="0" fontId="0" fillId="41" borderId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6" fillId="41" borderId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Protection="0">
      <alignment vertical="center"/>
    </xf>
    <xf numFmtId="0" fontId="0" fillId="46" borderId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6" fillId="36" borderId="0" applyProtection="0">
      <alignment vertical="center"/>
    </xf>
    <xf numFmtId="0" fontId="46" fillId="43" borderId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Protection="0">
      <alignment vertical="center"/>
    </xf>
    <xf numFmtId="0" fontId="49" fillId="47" borderId="0" applyProtection="0">
      <alignment vertical="center"/>
    </xf>
    <xf numFmtId="0" fontId="49" fillId="41" borderId="0" applyProtection="0">
      <alignment vertical="center"/>
    </xf>
    <xf numFmtId="0" fontId="49" fillId="42" borderId="0" applyProtection="0">
      <alignment vertical="center"/>
    </xf>
    <xf numFmtId="0" fontId="49" fillId="48" borderId="0" applyProtection="0">
      <alignment vertical="center"/>
    </xf>
    <xf numFmtId="0" fontId="49" fillId="49" borderId="0" applyProtection="0">
      <alignment vertical="center"/>
    </xf>
    <xf numFmtId="0" fontId="49" fillId="50" borderId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49" borderId="0" applyProtection="0">
      <alignment vertical="center"/>
    </xf>
    <xf numFmtId="0" fontId="52" fillId="45" borderId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51" fillId="46" borderId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0" fillId="48" borderId="0" applyProtection="0">
      <alignment vertical="center"/>
    </xf>
    <xf numFmtId="0" fontId="50" fillId="51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1" fillId="38" borderId="0" applyProtection="0">
      <alignment vertical="center"/>
    </xf>
    <xf numFmtId="0" fontId="51" fillId="38" borderId="0" applyNumberFormat="0" applyBorder="0" applyAlignment="0" applyProtection="0">
      <alignment vertical="center"/>
    </xf>
    <xf numFmtId="0" fontId="42" fillId="0" borderId="0">
      <alignment vertical="center"/>
      <protection locked="0"/>
    </xf>
    <xf numFmtId="0" fontId="53" fillId="33" borderId="0" applyProtection="0">
      <alignment vertical="center"/>
    </xf>
    <xf numFmtId="0" fontId="54" fillId="43" borderId="0" applyProtection="0">
      <alignment vertical="center"/>
    </xf>
    <xf numFmtId="0" fontId="53" fillId="40" borderId="0" applyProtection="0">
      <alignment vertical="center"/>
    </xf>
    <xf numFmtId="0" fontId="54" fillId="52" borderId="0" applyProtection="0">
      <alignment vertical="center"/>
    </xf>
    <xf numFmtId="0" fontId="54" fillId="53" borderId="0" applyProtection="0">
      <alignment vertical="center"/>
    </xf>
    <xf numFmtId="0" fontId="53" fillId="35" borderId="0" applyProtection="0">
      <alignment vertical="center"/>
    </xf>
    <xf numFmtId="0" fontId="54" fillId="45" borderId="0" applyProtection="0">
      <alignment vertical="center"/>
    </xf>
    <xf numFmtId="0" fontId="53" fillId="45" borderId="0" applyProtection="0">
      <alignment vertical="center"/>
    </xf>
    <xf numFmtId="0" fontId="54" fillId="54" borderId="0" applyProtection="0">
      <alignment vertical="center"/>
    </xf>
    <xf numFmtId="0" fontId="53" fillId="37" borderId="0" applyProtection="0">
      <alignment vertical="center"/>
    </xf>
    <xf numFmtId="0" fontId="54" fillId="49" borderId="0" applyProtection="0">
      <alignment vertical="center"/>
    </xf>
    <xf numFmtId="0" fontId="54" fillId="38" borderId="0" applyProtection="0">
      <alignment vertical="center"/>
    </xf>
    <xf numFmtId="0" fontId="54" fillId="50" borderId="0" applyProtection="0">
      <alignment vertical="center"/>
    </xf>
    <xf numFmtId="0" fontId="55" fillId="45" borderId="16" applyProtection="0">
      <alignment vertical="center"/>
    </xf>
    <xf numFmtId="0" fontId="56" fillId="38" borderId="16" applyProtection="0">
      <alignment vertical="center"/>
    </xf>
    <xf numFmtId="0" fontId="57" fillId="0" borderId="4">
      <alignment horizontal="left" vertical="center"/>
    </xf>
    <xf numFmtId="0" fontId="58" fillId="40" borderId="1" applyNumberFormat="0" applyBorder="0" applyAlignment="0" applyProtection="0">
      <alignment vertical="center"/>
    </xf>
    <xf numFmtId="176" fontId="59" fillId="55" borderId="0">
      <alignment vertical="center"/>
    </xf>
    <xf numFmtId="176" fontId="60" fillId="56" borderId="0" applyProtection="0">
      <alignment vertical="center"/>
    </xf>
    <xf numFmtId="176" fontId="60" fillId="56" borderId="0">
      <alignment vertical="center"/>
    </xf>
    <xf numFmtId="37" fontId="61" fillId="0" borderId="0">
      <alignment vertical="center"/>
    </xf>
    <xf numFmtId="0" fontId="40" fillId="40" borderId="17" applyProtection="0">
      <alignment vertical="center"/>
    </xf>
    <xf numFmtId="10" fontId="0" fillId="0" borderId="0" applyProtection="0">
      <alignment vertical="center"/>
    </xf>
    <xf numFmtId="10" fontId="11" fillId="0" borderId="0" applyFont="0" applyFill="0" applyBorder="0" applyAlignment="0" applyProtection="0">
      <alignment vertical="center"/>
    </xf>
    <xf numFmtId="15" fontId="11" fillId="0" borderId="0" applyFont="0" applyFill="0" applyBorder="0" applyAlignment="0" applyProtection="0">
      <alignment vertical="center"/>
    </xf>
    <xf numFmtId="177" fontId="0" fillId="0" borderId="0" applyProtection="0">
      <alignment vertical="center"/>
    </xf>
    <xf numFmtId="4" fontId="11" fillId="0" borderId="0" applyFont="0" applyFill="0" applyBorder="0" applyAlignment="0" applyProtection="0">
      <alignment vertical="center"/>
    </xf>
    <xf numFmtId="3" fontId="11" fillId="0" borderId="0" applyFont="0" applyFill="0" applyBorder="0" applyAlignment="0" applyProtection="0">
      <alignment vertical="center"/>
    </xf>
    <xf numFmtId="3" fontId="0" fillId="0" borderId="0" applyProtection="0">
      <alignment vertical="center"/>
    </xf>
    <xf numFmtId="0" fontId="11" fillId="57" borderId="0" applyNumberFormat="0" applyFont="0" applyBorder="0" applyAlignment="0" applyProtection="0">
      <alignment vertical="center"/>
    </xf>
    <xf numFmtId="0" fontId="0" fillId="57" borderId="0" applyProtection="0">
      <alignment vertical="center"/>
    </xf>
    <xf numFmtId="0" fontId="62" fillId="45" borderId="18" applyProtection="0">
      <alignment vertical="center"/>
    </xf>
    <xf numFmtId="0" fontId="63" fillId="58" borderId="7">
      <alignment vertical="center"/>
      <protection locked="0"/>
    </xf>
    <xf numFmtId="0" fontId="64" fillId="0" borderId="19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6" applyProtection="0">
      <alignment horizontal="right" vertical="center"/>
    </xf>
    <xf numFmtId="0" fontId="65" fillId="0" borderId="20" applyProtection="0">
      <alignment vertical="center"/>
    </xf>
    <xf numFmtId="0" fontId="65" fillId="0" borderId="20" applyNumberFormat="0" applyFill="0" applyAlignment="0" applyProtection="0">
      <alignment vertical="center"/>
    </xf>
    <xf numFmtId="0" fontId="66" fillId="0" borderId="21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Protection="0">
      <alignment vertical="center"/>
    </xf>
    <xf numFmtId="0" fontId="68" fillId="0" borderId="0" applyProtection="0">
      <alignment vertical="center"/>
    </xf>
    <xf numFmtId="0" fontId="69" fillId="34" borderId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71" fillId="34" borderId="0" applyProtection="0">
      <alignment vertical="center"/>
    </xf>
    <xf numFmtId="0" fontId="70" fillId="34" borderId="0" applyProtection="0">
      <alignment vertical="center"/>
    </xf>
    <xf numFmtId="0" fontId="72" fillId="34" borderId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0" borderId="0" applyBorder="0">
      <protection locked="0"/>
    </xf>
    <xf numFmtId="0" fontId="11" fillId="0" borderId="0" applyProtection="0">
      <alignment vertical="center"/>
    </xf>
    <xf numFmtId="0" fontId="11" fillId="0" borderId="0">
      <alignment vertical="center"/>
    </xf>
    <xf numFmtId="0" fontId="0" fillId="0" borderId="0" applyProtection="0"/>
    <xf numFmtId="0" fontId="0" fillId="0" borderId="0"/>
    <xf numFmtId="0" fontId="11" fillId="0" borderId="0"/>
    <xf numFmtId="0" fontId="11" fillId="0" borderId="0">
      <alignment vertical="center"/>
    </xf>
    <xf numFmtId="0" fontId="73" fillId="35" borderId="0" applyNumberFormat="0" applyBorder="0" applyAlignment="0" applyProtection="0">
      <alignment vertical="center"/>
    </xf>
    <xf numFmtId="0" fontId="73" fillId="35" borderId="0" applyProtection="0">
      <alignment vertical="center"/>
    </xf>
    <xf numFmtId="0" fontId="74" fillId="35" borderId="0" applyProtection="0">
      <alignment vertical="center"/>
    </xf>
    <xf numFmtId="0" fontId="75" fillId="35" borderId="0" applyProtection="0">
      <alignment vertical="center"/>
    </xf>
    <xf numFmtId="0" fontId="0" fillId="0" borderId="0" applyProtection="0">
      <alignment vertical="center"/>
    </xf>
    <xf numFmtId="0" fontId="75" fillId="3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1" fillId="0" borderId="0"/>
  </cellStyleXfs>
  <cellXfs count="92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 wrapText="1"/>
    </xf>
    <xf numFmtId="179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78" fontId="10" fillId="0" borderId="1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78" fontId="10" fillId="0" borderId="6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202" applyFont="1" applyAlignment="1">
      <alignment horizontal="center"/>
    </xf>
    <xf numFmtId="0" fontId="12" fillId="0" borderId="0" xfId="202" applyFont="1" applyAlignment="1">
      <alignment horizontal="center" wrapText="1"/>
    </xf>
    <xf numFmtId="0" fontId="12" fillId="0" borderId="0" xfId="202" applyFont="1" applyAlignment="1">
      <alignment horizontal="left"/>
    </xf>
    <xf numFmtId="0" fontId="11" fillId="0" borderId="0" xfId="202" applyAlignment="1">
      <alignment horizontal="center"/>
    </xf>
    <xf numFmtId="178" fontId="11" fillId="0" borderId="0" xfId="202" applyNumberFormat="1" applyAlignment="1">
      <alignment horizontal="center"/>
    </xf>
    <xf numFmtId="0" fontId="11" fillId="0" borderId="0" xfId="202"/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178" fontId="13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78" fontId="14" fillId="0" borderId="1" xfId="0" applyNumberFormat="1" applyFont="1" applyBorder="1" applyAlignment="1">
      <alignment horizontal="center" vertical="center" wrapText="1"/>
    </xf>
    <xf numFmtId="0" fontId="15" fillId="0" borderId="1" xfId="202" applyFont="1" applyBorder="1" applyAlignment="1">
      <alignment horizontal="center" vertical="center"/>
    </xf>
    <xf numFmtId="0" fontId="15" fillId="0" borderId="1" xfId="203" applyFont="1" applyBorder="1" applyAlignment="1">
      <alignment horizontal="center" vertical="center" wrapText="1"/>
    </xf>
    <xf numFmtId="0" fontId="15" fillId="0" borderId="1" xfId="202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6" fillId="0" borderId="1" xfId="202" applyFont="1" applyBorder="1" applyAlignment="1">
      <alignment horizontal="left" vertical="top" wrapText="1"/>
    </xf>
    <xf numFmtId="180" fontId="17" fillId="0" borderId="1" xfId="203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0" xfId="202" applyFont="1"/>
    <xf numFmtId="0" fontId="15" fillId="0" borderId="2" xfId="202" applyFont="1" applyBorder="1" applyAlignment="1">
      <alignment horizontal="center" vertical="center"/>
    </xf>
    <xf numFmtId="0" fontId="15" fillId="0" borderId="2" xfId="203" applyFont="1" applyBorder="1" applyAlignment="1">
      <alignment horizontal="center" vertical="center" wrapText="1"/>
    </xf>
    <xf numFmtId="0" fontId="15" fillId="0" borderId="2" xfId="202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6" fillId="0" borderId="2" xfId="202" applyFont="1" applyBorder="1" applyAlignment="1">
      <alignment horizontal="left" vertical="top" wrapText="1"/>
    </xf>
    <xf numFmtId="180" fontId="17" fillId="0" borderId="2" xfId="203" applyNumberFormat="1" applyFont="1" applyBorder="1" applyAlignment="1">
      <alignment horizontal="center" vertical="center" wrapText="1"/>
    </xf>
    <xf numFmtId="0" fontId="15" fillId="0" borderId="7" xfId="202" applyFont="1" applyBorder="1" applyAlignment="1">
      <alignment horizontal="center" vertical="center"/>
    </xf>
    <xf numFmtId="0" fontId="15" fillId="0" borderId="7" xfId="203" applyFont="1" applyBorder="1" applyAlignment="1">
      <alignment horizontal="center" vertical="center" wrapText="1"/>
    </xf>
    <xf numFmtId="0" fontId="15" fillId="0" borderId="7" xfId="202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6" fillId="0" borderId="7" xfId="202" applyFont="1" applyBorder="1" applyAlignment="1">
      <alignment horizontal="left" vertical="top" wrapText="1"/>
    </xf>
    <xf numFmtId="180" fontId="17" fillId="0" borderId="7" xfId="203" applyNumberFormat="1" applyFont="1" applyBorder="1" applyAlignment="1">
      <alignment horizontal="center" vertical="center" wrapText="1"/>
    </xf>
    <xf numFmtId="0" fontId="15" fillId="0" borderId="6" xfId="202" applyFont="1" applyBorder="1" applyAlignment="1">
      <alignment horizontal="center" vertical="center"/>
    </xf>
    <xf numFmtId="0" fontId="15" fillId="0" borderId="6" xfId="203" applyFont="1" applyBorder="1" applyAlignment="1">
      <alignment horizontal="center" vertical="center" wrapText="1"/>
    </xf>
    <xf numFmtId="0" fontId="15" fillId="0" borderId="6" xfId="202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6" fillId="0" borderId="6" xfId="202" applyFont="1" applyBorder="1" applyAlignment="1">
      <alignment horizontal="left" vertical="top" wrapText="1"/>
    </xf>
    <xf numFmtId="180" fontId="17" fillId="0" borderId="6" xfId="203" applyNumberFormat="1" applyFont="1" applyBorder="1" applyAlignment="1">
      <alignment horizontal="center" vertical="center" wrapText="1"/>
    </xf>
    <xf numFmtId="179" fontId="15" fillId="0" borderId="2" xfId="203" applyNumberFormat="1" applyFont="1" applyBorder="1" applyAlignment="1">
      <alignment horizontal="center" vertical="center" wrapText="1"/>
    </xf>
    <xf numFmtId="0" fontId="18" fillId="0" borderId="2" xfId="202" applyFont="1" applyBorder="1" applyAlignment="1">
      <alignment horizontal="left" vertical="top" wrapText="1"/>
    </xf>
    <xf numFmtId="179" fontId="15" fillId="0" borderId="6" xfId="203" applyNumberFormat="1" applyFont="1" applyBorder="1" applyAlignment="1">
      <alignment horizontal="center" vertical="center" wrapText="1"/>
    </xf>
    <xf numFmtId="0" fontId="18" fillId="0" borderId="6" xfId="202" applyFont="1" applyBorder="1" applyAlignment="1">
      <alignment horizontal="left" vertical="top" wrapText="1"/>
    </xf>
    <xf numFmtId="0" fontId="16" fillId="0" borderId="6" xfId="202" applyFont="1" applyBorder="1" applyAlignment="1">
      <alignment horizontal="left" vertical="center" wrapText="1"/>
    </xf>
    <xf numFmtId="178" fontId="15" fillId="0" borderId="1" xfId="203" applyNumberFormat="1" applyFont="1" applyBorder="1" applyAlignment="1">
      <alignment horizontal="center" vertical="center" wrapText="1"/>
    </xf>
    <xf numFmtId="0" fontId="16" fillId="0" borderId="1" xfId="202" applyFont="1" applyBorder="1" applyAlignment="1">
      <alignment horizontal="left" vertical="center" wrapText="1"/>
    </xf>
    <xf numFmtId="0" fontId="19" fillId="0" borderId="0" xfId="202" applyFont="1"/>
    <xf numFmtId="0" fontId="15" fillId="0" borderId="1" xfId="202" applyFont="1" applyFill="1" applyBorder="1" applyAlignment="1">
      <alignment horizontal="center" vertical="center"/>
    </xf>
    <xf numFmtId="0" fontId="15" fillId="0" borderId="1" xfId="203" applyFont="1" applyFill="1" applyBorder="1" applyAlignment="1">
      <alignment horizontal="center" vertical="center" wrapText="1"/>
    </xf>
    <xf numFmtId="0" fontId="15" fillId="0" borderId="5" xfId="202" applyFont="1" applyFill="1" applyBorder="1" applyAlignment="1">
      <alignment horizontal="center" vertical="center" wrapText="1"/>
    </xf>
    <xf numFmtId="178" fontId="15" fillId="0" borderId="1" xfId="20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3" xfId="202" applyFont="1" applyBorder="1" applyAlignment="1">
      <alignment horizontal="center" vertical="center"/>
    </xf>
    <xf numFmtId="0" fontId="15" fillId="0" borderId="4" xfId="202" applyFont="1" applyBorder="1" applyAlignment="1">
      <alignment horizontal="center" vertical="center"/>
    </xf>
    <xf numFmtId="0" fontId="15" fillId="0" borderId="5" xfId="202" applyFont="1" applyBorder="1" applyAlignment="1">
      <alignment horizontal="center" vertical="center"/>
    </xf>
    <xf numFmtId="181" fontId="15" fillId="0" borderId="1" xfId="202" applyNumberFormat="1" applyFont="1" applyBorder="1" applyAlignment="1">
      <alignment horizontal="center" vertical="center"/>
    </xf>
    <xf numFmtId="0" fontId="15" fillId="0" borderId="1" xfId="202" applyFont="1" applyBorder="1" applyAlignment="1">
      <alignment vertical="center"/>
    </xf>
    <xf numFmtId="180" fontId="17" fillId="0" borderId="1" xfId="0" applyNumberFormat="1" applyFont="1" applyBorder="1" applyAlignment="1">
      <alignment horizontal="center" vertical="center"/>
    </xf>
  </cellXfs>
  <cellStyles count="21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2009最新报价单（完整版09-9-15）-2 2 2" xfId="49"/>
    <cellStyle name="_2009最新报价单（完整版09-9-15）-2 3" xfId="50"/>
    <cellStyle name="_Book1_1_郭总别墅（创艺报价10-20）新 2 2" xfId="51"/>
    <cellStyle name="_Book1_3_武汉龙苑澜岸（美式）20140923无窗帘" xfId="52"/>
    <cellStyle name="_ET_STYLE_NoName_00_ 10 3" xfId="53"/>
    <cellStyle name="_ET_STYLE_NoName_00_ 2 2 2 2" xfId="54"/>
    <cellStyle name="_ET_STYLE_NoName_00_ 2 3 2" xfId="55"/>
    <cellStyle name="_ET_STYLE_NoName_00_ 9" xfId="56"/>
    <cellStyle name="_ET_STYLE_NoName_00__Book1_1_武汉龙苑澜岸（美式）20140923无窗帘 3" xfId="57"/>
    <cellStyle name="_ET_STYLE_NoName_00__Sheet3" xfId="58"/>
    <cellStyle name="_ET_STYLE_NoName_00__家具_家具" xfId="59"/>
    <cellStyle name="_ET_STYLE_NoName_00__莱特斯沙发报价20160420 8" xfId="60"/>
    <cellStyle name="_ET_STYLE_NoName_00__一层 3 2" xfId="61"/>
    <cellStyle name="_ET_STYLE_NoName_00__中式式新地·东方明珠饰品清单0617 3 2" xfId="62"/>
    <cellStyle name="_ET_STYLE_NoName_00__中式式新地·东方明珠饰品清单0617_郭总别墅（创艺报价10-20）新 2 2" xfId="63"/>
    <cellStyle name="20% - Énfasis1 3" xfId="64"/>
    <cellStyle name="20% - Énfasis2" xfId="65"/>
    <cellStyle name="20% - Énfasis3 2 2" xfId="66"/>
    <cellStyle name="20% - Énfasis4" xfId="67"/>
    <cellStyle name="20% - Énfasis5 2 2" xfId="68"/>
    <cellStyle name="20% - Énfasis6" xfId="69"/>
    <cellStyle name="20% - 强调文字颜色 1 13 2" xfId="70"/>
    <cellStyle name="20% - 强调文字颜色 1 2 2 3 2 7" xfId="71"/>
    <cellStyle name="20% - 强调文字颜色 1 2 3 4 3 2 2 2" xfId="72"/>
    <cellStyle name="20% - 强调文字颜色 1 2 4 2 2 7" xfId="73"/>
    <cellStyle name="20% - 强调文字颜色 1 2 7 2 2 3" xfId="74"/>
    <cellStyle name="20% - 强调文字颜色 1 3 2 2 7" xfId="75"/>
    <cellStyle name="20% - 强调文字颜色 1 41" xfId="76"/>
    <cellStyle name="20% - 强调文字颜色 2 2 2 3 2 7" xfId="77"/>
    <cellStyle name="20% - 强调文字颜色 2 2 4 2 5 2 2" xfId="78"/>
    <cellStyle name="20% - 强调文字颜色 2 3 4 4 6" xfId="79"/>
    <cellStyle name="20% - 强调文字颜色 2 3 6" xfId="80"/>
    <cellStyle name="20% - 强调文字颜色 2 41" xfId="81"/>
    <cellStyle name="20% - 强调文字颜色 3 2 9 2 3" xfId="82"/>
    <cellStyle name="20% - 强调文字颜色 3 3 10" xfId="83"/>
    <cellStyle name="20% - 强调文字颜色 3 3 2 5" xfId="84"/>
    <cellStyle name="20% - 强调文字颜色 3 3 2 5 6" xfId="85"/>
    <cellStyle name="20% - 强调文字颜色 3 3 5 7" xfId="86"/>
    <cellStyle name="20% - 强调文字颜色 3 3 7 2 2" xfId="87"/>
    <cellStyle name="20% - 强调文字颜色 3 41" xfId="88"/>
    <cellStyle name="20% - 强调文字颜色 4 2 2 2 3 2 4" xfId="89"/>
    <cellStyle name="20% - 强调文字颜色 4 2 4 2 2 7" xfId="90"/>
    <cellStyle name="20% - 强调文字颜色 4 2 4 4 5" xfId="91"/>
    <cellStyle name="20% - 强调文字颜色 5 2 3 4 3" xfId="92"/>
    <cellStyle name="20% - 强调文字颜色 5 2 4 3 2" xfId="93"/>
    <cellStyle name="20% - 强调文字颜色 5 2 5 2 2" xfId="94"/>
    <cellStyle name="20% - 强调文字颜色 5 3 2 5 6" xfId="95"/>
    <cellStyle name="20% - 强调文字颜色 6 2_灯具" xfId="96"/>
    <cellStyle name="20% - 强调文字颜色 6 3 2 2 3 3" xfId="97"/>
    <cellStyle name="20% - 强调文字颜色 6 3 5" xfId="98"/>
    <cellStyle name="20% - 强调文字颜色 6 3 5 3 2" xfId="99"/>
    <cellStyle name="40% - Énfasis2 2 2" xfId="100"/>
    <cellStyle name="40% - Énfasis3" xfId="101"/>
    <cellStyle name="40% - Énfasis5 2 2" xfId="102"/>
    <cellStyle name="40% - Énfasis6 3" xfId="103"/>
    <cellStyle name="40% - 强调文字颜色 1 13" xfId="104"/>
    <cellStyle name="40% - 强调文字颜色 1 2 7 2 2" xfId="105"/>
    <cellStyle name="40% - 强调文字颜色 1 3" xfId="106"/>
    <cellStyle name="40% - 强调文字颜色 1 3 10 2" xfId="107"/>
    <cellStyle name="40% - 强调文字颜色 1 4 2 3 3" xfId="108"/>
    <cellStyle name="40% - 强调文字颜色 2 12 4" xfId="109"/>
    <cellStyle name="40% - 强调文字颜色 2 14" xfId="110"/>
    <cellStyle name="40% - 强调文字颜色 2 2 2 3 2" xfId="111"/>
    <cellStyle name="40% - 强调文字颜色 2 2 3 2 2" xfId="112"/>
    <cellStyle name="40% - 强调文字颜色 3 2 2 3 2" xfId="113"/>
    <cellStyle name="40% - 强调文字颜色 3 2 7 2 2" xfId="114"/>
    <cellStyle name="40% - 强调文字颜色 3 2 7 3" xfId="115"/>
    <cellStyle name="40% - 强调文字颜色 3 3 3 4" xfId="116"/>
    <cellStyle name="40% - 强调文字颜色 4 2 4 4" xfId="117"/>
    <cellStyle name="40% - 强调文字颜色 4 3 9 2" xfId="118"/>
    <cellStyle name="40% - 强调文字颜色 5 2 5 3 2" xfId="119"/>
    <cellStyle name="40% - 强调文字颜色 6 2 6 2 2" xfId="120"/>
    <cellStyle name="40% - 强调文字颜色 6 2 9 2" xfId="121"/>
    <cellStyle name="60% - Énfasis1 3" xfId="122"/>
    <cellStyle name="60% - Énfasis2 3" xfId="123"/>
    <cellStyle name="60% - Énfasis3 3" xfId="124"/>
    <cellStyle name="60% - Énfasis4 3" xfId="125"/>
    <cellStyle name="60% - Énfasis5 2 2" xfId="126"/>
    <cellStyle name="60% - Énfasis6 2 2" xfId="127"/>
    <cellStyle name="60% - 强调文字颜色 1 2" xfId="128"/>
    <cellStyle name="60% - 强调文字颜色 1 3 2 2 2" xfId="129"/>
    <cellStyle name="60% - 强调文字颜色 1 3 2 3 2" xfId="130"/>
    <cellStyle name="60% - 强调文字颜色 1 4 2" xfId="131"/>
    <cellStyle name="60% - 强调文字颜色 2 2 2 2 2" xfId="132"/>
    <cellStyle name="60% - 强调文字颜色 2 2 2 3 2" xfId="133"/>
    <cellStyle name="60% - 强调文字颜色 2 3 3 2" xfId="134"/>
    <cellStyle name="60% - 强调文字颜色 3 3 2 3 2" xfId="135"/>
    <cellStyle name="60% - 强调文字颜色 3 3 2 4" xfId="136"/>
    <cellStyle name="60% - 强调文字颜色 4 2 2 4" xfId="137"/>
    <cellStyle name="60% - 强调文字颜色 4 2 4 2" xfId="138"/>
    <cellStyle name="60% - 强调文字颜色 4 2 5" xfId="139"/>
    <cellStyle name="60% - 强调文字颜色 5 3" xfId="140"/>
    <cellStyle name="60% - 强调文字颜色 6 3" xfId="141"/>
    <cellStyle name="60% - 强调文字颜色 6 3 2 3 2" xfId="142"/>
    <cellStyle name="60% - 强调文字颜色 6 3 2 4" xfId="143"/>
    <cellStyle name="6mal" xfId="144"/>
    <cellStyle name="Accent1 - 40% 2 3 3 3 2" xfId="145"/>
    <cellStyle name="Accent1 - 60% 2 3 3" xfId="146"/>
    <cellStyle name="Accent2 - 20% 2 6 4" xfId="147"/>
    <cellStyle name="Accent2 - 60% 3 4 3 2" xfId="148"/>
    <cellStyle name="Accent2 27 2" xfId="149"/>
    <cellStyle name="Accent3 - 40% 4 4 4" xfId="150"/>
    <cellStyle name="Accent3 - 60% 2 2 3 4" xfId="151"/>
    <cellStyle name="Accent4 - 40% 2 2 6 2" xfId="152"/>
    <cellStyle name="Accent4 5" xfId="153"/>
    <cellStyle name="Accent5 - 20% 2 2 2 4" xfId="154"/>
    <cellStyle name="Accent5 25 2" xfId="155"/>
    <cellStyle name="Accent6 - 60% 4 4 3 2" xfId="156"/>
    <cellStyle name="Accent6 4 2 3 2" xfId="157"/>
    <cellStyle name="Cálculo 2 4" xfId="158"/>
    <cellStyle name="Entrada 6 4" xfId="159"/>
    <cellStyle name="Header2 2 14 4" xfId="160"/>
    <cellStyle name="Input [yellow] 2 6 2" xfId="161"/>
    <cellStyle name="Input Cells 4" xfId="162"/>
    <cellStyle name="Linked Cells 3 2" xfId="163"/>
    <cellStyle name="Linked Cells 4" xfId="164"/>
    <cellStyle name="no dec 5" xfId="165"/>
    <cellStyle name="Notas 7 3" xfId="166"/>
    <cellStyle name="Percent [2] 2 3 2 3 2" xfId="167"/>
    <cellStyle name="Percent [2] 2 3 4" xfId="168"/>
    <cellStyle name="PSDate 2 5" xfId="169"/>
    <cellStyle name="PSDate 9 2" xfId="170"/>
    <cellStyle name="PSDec 2 3 2" xfId="171"/>
    <cellStyle name="PSInt 2 3 4 2 2" xfId="172"/>
    <cellStyle name="PSInt 3 4 3 2" xfId="173"/>
    <cellStyle name="PSSpacer 2 2 3 4" xfId="174"/>
    <cellStyle name="PSSpacer 2 3 3 3 2" xfId="175"/>
    <cellStyle name="Salida 2 4" xfId="176"/>
    <cellStyle name="t_HVAC Equipment (3)_顺德凯盛广场样板房_郭总别墅清单报价20141018 2 2" xfId="177"/>
    <cellStyle name="Total 5 2 3" xfId="178"/>
    <cellStyle name="百分比 2" xfId="179"/>
    <cellStyle name="百分比 3" xfId="180"/>
    <cellStyle name="编号" xfId="181"/>
    <cellStyle name="标题 1 2 4 2" xfId="182"/>
    <cellStyle name="标题 1 3" xfId="183"/>
    <cellStyle name="标题 2 2 4 2" xfId="184"/>
    <cellStyle name="标题 5 3 2 2 2" xfId="185"/>
    <cellStyle name="标题 5 3 2 3 2" xfId="186"/>
    <cellStyle name="表标题 6 3" xfId="187"/>
    <cellStyle name="差_（1）主线清单模板09.6.8_Book1_郭总别墅（创艺报价10-20）新 8" xfId="188"/>
    <cellStyle name="差_02样板间 4 2 3" xfId="189"/>
    <cellStyle name="差_1号楼首层地下层软装清单-2013-11-6_美式最新09.18_武汉龙苑澜岸（美式饰品）0920 3" xfId="190"/>
    <cellStyle name="差_3号楼首层地下层软装清单-2013-11-6_美式最新09.18_武汉龙苑澜岸（美式饰品）0920 2 2" xfId="191"/>
    <cellStyle name="差_Book1_2_Book1 2 2 3" xfId="192"/>
    <cellStyle name="差_Book1_Book1_A1-1户型美式风格_郭总别墅（创艺报价10-20）新 2" xfId="193"/>
    <cellStyle name="差_多方案比较_Book1_武汉龙苑澜岸（美式）20140923无窗帘 2 4" xfId="194"/>
    <cellStyle name="差_郭总别墅（创艺报价10-20）新 3 7" xfId="195"/>
    <cellStyle name="常规 10 10" xfId="196"/>
    <cellStyle name="常规 12" xfId="197"/>
    <cellStyle name="常规 2 2 3 5" xfId="198"/>
    <cellStyle name="常规 3" xfId="199"/>
    <cellStyle name="常规 3 3 2 6 2 2" xfId="200"/>
    <cellStyle name="常规 3 3 2 6 3" xfId="201"/>
    <cellStyle name="常规_quoto11" xfId="202"/>
    <cellStyle name="常规_家具" xfId="203"/>
    <cellStyle name="好_1号楼首层地下层软装清单-2013-11-6_B-2户型新中式风格 2" xfId="204"/>
    <cellStyle name="好_Book1_1_B-2户型新中式风格_美式最新09.18_郭总别墅（创艺报价10-20）新 2" xfId="205"/>
    <cellStyle name="好_多方案比较 8" xfId="206"/>
    <cellStyle name="好_七号线清单模板09.06.08 2 7" xfId="207"/>
    <cellStyle name="好_七号线清单模板09.06.08_Book1_武汉龙苑澜岸（美式）20140923无窗帘 2 3 2 2" xfId="208"/>
    <cellStyle name="好_顺德凯盛广场1#A3样板房20140809_武汉龙苑澜岸（美式）20140923无窗帘 2 7" xfId="209"/>
    <cellStyle name="千位分隔 2" xfId="210"/>
    <cellStyle name="样式 1" xfId="211"/>
  </cellStyles>
  <tableStyles count="0" defaultTableStyle="TableStyleMedium2" defaultPivotStyle="PivotStyleLight16"/>
  <colors>
    <mruColors>
      <color rgb="00FF0000"/>
      <color rgb="000070C0"/>
      <color rgb="00FFC000"/>
      <color rgb="00E799D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7" Type="http://schemas.openxmlformats.org/officeDocument/2006/relationships/styles" Target="styles.xml"/><Relationship Id="rId76" Type="http://schemas.openxmlformats.org/officeDocument/2006/relationships/sharedStrings" Target="sharedStrings.xml"/><Relationship Id="rId75" Type="http://schemas.openxmlformats.org/officeDocument/2006/relationships/theme" Target="theme/theme1.xml"/><Relationship Id="rId74" Type="http://schemas.openxmlformats.org/officeDocument/2006/relationships/externalLink" Target="externalLinks/externalLink68.xml"/><Relationship Id="rId73" Type="http://schemas.openxmlformats.org/officeDocument/2006/relationships/externalLink" Target="externalLinks/externalLink67.xml"/><Relationship Id="rId72" Type="http://schemas.openxmlformats.org/officeDocument/2006/relationships/externalLink" Target="externalLinks/externalLink66.xml"/><Relationship Id="rId71" Type="http://schemas.openxmlformats.org/officeDocument/2006/relationships/externalLink" Target="externalLinks/externalLink65.xml"/><Relationship Id="rId70" Type="http://schemas.openxmlformats.org/officeDocument/2006/relationships/externalLink" Target="externalLinks/externalLink64.xml"/><Relationship Id="rId7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3.xml"/><Relationship Id="rId68" Type="http://schemas.openxmlformats.org/officeDocument/2006/relationships/externalLink" Target="externalLinks/externalLink62.xml"/><Relationship Id="rId67" Type="http://schemas.openxmlformats.org/officeDocument/2006/relationships/externalLink" Target="externalLinks/externalLink61.xml"/><Relationship Id="rId66" Type="http://schemas.openxmlformats.org/officeDocument/2006/relationships/externalLink" Target="externalLinks/externalLink60.xml"/><Relationship Id="rId65" Type="http://schemas.openxmlformats.org/officeDocument/2006/relationships/externalLink" Target="externalLinks/externalLink59.xml"/><Relationship Id="rId64" Type="http://schemas.openxmlformats.org/officeDocument/2006/relationships/externalLink" Target="externalLinks/externalLink58.xml"/><Relationship Id="rId63" Type="http://schemas.openxmlformats.org/officeDocument/2006/relationships/externalLink" Target="externalLinks/externalLink57.xml"/><Relationship Id="rId62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55.xml"/><Relationship Id="rId60" Type="http://schemas.openxmlformats.org/officeDocument/2006/relationships/externalLink" Target="externalLinks/externalLink54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53.xml"/><Relationship Id="rId58" Type="http://schemas.openxmlformats.org/officeDocument/2006/relationships/externalLink" Target="externalLinks/externalLink52.xml"/><Relationship Id="rId57" Type="http://schemas.openxmlformats.org/officeDocument/2006/relationships/externalLink" Target="externalLinks/externalLink51.xml"/><Relationship Id="rId56" Type="http://schemas.openxmlformats.org/officeDocument/2006/relationships/externalLink" Target="externalLinks/externalLink50.xml"/><Relationship Id="rId55" Type="http://schemas.openxmlformats.org/officeDocument/2006/relationships/externalLink" Target="externalLinks/externalLink49.xml"/><Relationship Id="rId54" Type="http://schemas.openxmlformats.org/officeDocument/2006/relationships/externalLink" Target="externalLinks/externalLink48.xml"/><Relationship Id="rId53" Type="http://schemas.openxmlformats.org/officeDocument/2006/relationships/externalLink" Target="externalLinks/externalLink47.xml"/><Relationship Id="rId52" Type="http://schemas.openxmlformats.org/officeDocument/2006/relationships/externalLink" Target="externalLinks/externalLink46.xml"/><Relationship Id="rId51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4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43.xml"/><Relationship Id="rId48" Type="http://schemas.openxmlformats.org/officeDocument/2006/relationships/externalLink" Target="externalLinks/externalLink42.xml"/><Relationship Id="rId47" Type="http://schemas.openxmlformats.org/officeDocument/2006/relationships/externalLink" Target="externalLinks/externalLink41.xml"/><Relationship Id="rId46" Type="http://schemas.openxmlformats.org/officeDocument/2006/relationships/externalLink" Target="externalLinks/externalLink40.xml"/><Relationship Id="rId45" Type="http://schemas.openxmlformats.org/officeDocument/2006/relationships/externalLink" Target="externalLinks/externalLink39.xml"/><Relationship Id="rId44" Type="http://schemas.openxmlformats.org/officeDocument/2006/relationships/externalLink" Target="externalLinks/externalLink38.xml"/><Relationship Id="rId43" Type="http://schemas.openxmlformats.org/officeDocument/2006/relationships/externalLink" Target="externalLinks/externalLink37.xml"/><Relationship Id="rId42" Type="http://schemas.openxmlformats.org/officeDocument/2006/relationships/externalLink" Target="externalLinks/externalLink36.xml"/><Relationship Id="rId41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4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33.xml"/><Relationship Id="rId38" Type="http://schemas.openxmlformats.org/officeDocument/2006/relationships/externalLink" Target="externalLinks/externalLink32.xml"/><Relationship Id="rId37" Type="http://schemas.openxmlformats.org/officeDocument/2006/relationships/externalLink" Target="externalLinks/externalLink31.xml"/><Relationship Id="rId36" Type="http://schemas.openxmlformats.org/officeDocument/2006/relationships/externalLink" Target="externalLinks/externalLink30.xml"/><Relationship Id="rId35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8.xml"/><Relationship Id="rId33" Type="http://schemas.openxmlformats.org/officeDocument/2006/relationships/externalLink" Target="externalLinks/externalLink27.xml"/><Relationship Id="rId32" Type="http://schemas.openxmlformats.org/officeDocument/2006/relationships/externalLink" Target="externalLinks/externalLink26.xml"/><Relationship Id="rId31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3.xml"/><Relationship Id="rId28" Type="http://schemas.openxmlformats.org/officeDocument/2006/relationships/externalLink" Target="externalLinks/externalLink22.xml"/><Relationship Id="rId27" Type="http://schemas.openxmlformats.org/officeDocument/2006/relationships/externalLink" Target="externalLinks/externalLink21.xml"/><Relationship Id="rId26" Type="http://schemas.openxmlformats.org/officeDocument/2006/relationships/externalLink" Target="externalLinks/externalLink20.xml"/><Relationship Id="rId25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8.xml"/><Relationship Id="rId23" Type="http://schemas.openxmlformats.org/officeDocument/2006/relationships/externalLink" Target="externalLinks/externalLink17.xml"/><Relationship Id="rId22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3.xml"/><Relationship Id="rId18" Type="http://schemas.openxmlformats.org/officeDocument/2006/relationships/externalLink" Target="externalLinks/externalLink12.xml"/><Relationship Id="rId17" Type="http://schemas.openxmlformats.org/officeDocument/2006/relationships/externalLink" Target="externalLinks/externalLink1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0.png"/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6.jpeg"/><Relationship Id="rId8" Type="http://schemas.openxmlformats.org/officeDocument/2006/relationships/image" Target="../media/image2.png"/><Relationship Id="rId7" Type="http://schemas.openxmlformats.org/officeDocument/2006/relationships/image" Target="../media/image25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0.png"/><Relationship Id="rId3" Type="http://schemas.openxmlformats.org/officeDocument/2006/relationships/image" Target="../media/image4.jpe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29.png"/><Relationship Id="rId3" Type="http://schemas.openxmlformats.org/officeDocument/2006/relationships/image" Target="../media/image28.png"/><Relationship Id="rId2" Type="http://schemas.openxmlformats.org/officeDocument/2006/relationships/image" Target="../media/image3.jpe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85090</xdr:colOff>
      <xdr:row>5</xdr:row>
      <xdr:rowOff>2976880</xdr:rowOff>
    </xdr:from>
    <xdr:to>
      <xdr:col>2</xdr:col>
      <xdr:colOff>1470025</xdr:colOff>
      <xdr:row>5</xdr:row>
      <xdr:rowOff>4793615</xdr:rowOff>
    </xdr:to>
    <xdr:pic>
      <xdr:nvPicPr>
        <xdr:cNvPr id="10" name="图片 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273300" y="8056880"/>
          <a:ext cx="1384935" cy="1816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114935</xdr:colOff>
      <xdr:row>9</xdr:row>
      <xdr:rowOff>2656840</xdr:rowOff>
    </xdr:from>
    <xdr:to>
      <xdr:col>2</xdr:col>
      <xdr:colOff>1434465</xdr:colOff>
      <xdr:row>9</xdr:row>
      <xdr:rowOff>4165600</xdr:rowOff>
    </xdr:to>
    <xdr:pic>
      <xdr:nvPicPr>
        <xdr:cNvPr id="11" name="图片 10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303145" y="20132040"/>
          <a:ext cx="1319530" cy="150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77470</xdr:colOff>
      <xdr:row>14</xdr:row>
      <xdr:rowOff>3449320</xdr:rowOff>
    </xdr:from>
    <xdr:to>
      <xdr:col>2</xdr:col>
      <xdr:colOff>1310005</xdr:colOff>
      <xdr:row>14</xdr:row>
      <xdr:rowOff>5039360</xdr:rowOff>
    </xdr:to>
    <xdr:pic>
      <xdr:nvPicPr>
        <xdr:cNvPr id="12" name="图片 11"/>
        <xdr:cNvPicPr>
          <a:picLocks noChangeAspect="1"/>
        </xdr:cNvPicPr>
      </xdr:nvPicPr>
      <xdr:blipFill>
        <a:blip r:embed="rId3" cstate="print">
          <a:lum bright="24000"/>
        </a:blip>
        <a:stretch>
          <a:fillRect/>
        </a:stretch>
      </xdr:blipFill>
      <xdr:spPr>
        <a:xfrm>
          <a:off x="2265680" y="41828720"/>
          <a:ext cx="123253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12</xdr:row>
      <xdr:rowOff>1784350</xdr:rowOff>
    </xdr:from>
    <xdr:to>
      <xdr:col>2</xdr:col>
      <xdr:colOff>1445260</xdr:colOff>
      <xdr:row>12</xdr:row>
      <xdr:rowOff>4227195</xdr:rowOff>
    </xdr:to>
    <xdr:pic>
      <xdr:nvPicPr>
        <xdr:cNvPr id="2" name="图片 1" descr="jhk-1777226445406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2264410" y="34524950"/>
          <a:ext cx="1369060" cy="2442845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</xdr:colOff>
      <xdr:row>8</xdr:row>
      <xdr:rowOff>179070</xdr:rowOff>
    </xdr:from>
    <xdr:to>
      <xdr:col>3</xdr:col>
      <xdr:colOff>3744595</xdr:colOff>
      <xdr:row>8</xdr:row>
      <xdr:rowOff>3926205</xdr:rowOff>
    </xdr:to>
    <xdr:pic>
      <xdr:nvPicPr>
        <xdr:cNvPr id="3" name="图片 2" descr="1d8f3ef962918dd4885d6a82c94e3de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719830" y="12459970"/>
          <a:ext cx="3715385" cy="3747135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8</xdr:row>
      <xdr:rowOff>4086225</xdr:rowOff>
    </xdr:from>
    <xdr:to>
      <xdr:col>3</xdr:col>
      <xdr:colOff>3707130</xdr:colOff>
      <xdr:row>8</xdr:row>
      <xdr:rowOff>4943475</xdr:rowOff>
    </xdr:to>
    <xdr:sp>
      <xdr:nvSpPr>
        <xdr:cNvPr id="4" name="文本框 3"/>
        <xdr:cNvSpPr txBox="1"/>
      </xdr:nvSpPr>
      <xdr:spPr>
        <a:xfrm>
          <a:off x="3719195" y="16367125"/>
          <a:ext cx="3678555" cy="857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zh-CN" sz="2200"/>
            <a:t>   </a:t>
          </a:r>
          <a:r>
            <a:rPr lang="zh-CN" altLang="en-US" sz="2200" b="1"/>
            <a:t>病房：太古里-18</a:t>
          </a:r>
          <a:r>
            <a:rPr lang="en-US" altLang="zh-CN" sz="2200" b="1"/>
            <a:t> </a:t>
          </a:r>
          <a:r>
            <a:rPr lang="zh-CN" altLang="en-US" sz="2200" b="1"/>
            <a:t>蒂芙尼蓝</a:t>
          </a:r>
          <a:endParaRPr lang="en-US" altLang="zh-CN" sz="2200" b="1"/>
        </a:p>
      </xdr:txBody>
    </xdr:sp>
    <xdr:clientData/>
  </xdr:twoCellAnchor>
  <xdr:twoCellAnchor editAs="oneCell">
    <xdr:from>
      <xdr:col>3</xdr:col>
      <xdr:colOff>105410</xdr:colOff>
      <xdr:row>8</xdr:row>
      <xdr:rowOff>5078730</xdr:rowOff>
    </xdr:from>
    <xdr:to>
      <xdr:col>3</xdr:col>
      <xdr:colOff>3669030</xdr:colOff>
      <xdr:row>9</xdr:row>
      <xdr:rowOff>3825875</xdr:rowOff>
    </xdr:to>
    <xdr:pic>
      <xdr:nvPicPr>
        <xdr:cNvPr id="5" name="图片 4" descr="41f33dc6d4436298df99e94c27e4ae9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796030" y="17359630"/>
          <a:ext cx="3563620" cy="3941445"/>
        </a:xfrm>
        <a:prstGeom prst="rect">
          <a:avLst/>
        </a:prstGeom>
      </xdr:spPr>
    </xdr:pic>
    <xdr:clientData/>
  </xdr:twoCellAnchor>
  <xdr:twoCellAnchor>
    <xdr:from>
      <xdr:col>3</xdr:col>
      <xdr:colOff>79375</xdr:colOff>
      <xdr:row>9</xdr:row>
      <xdr:rowOff>4003675</xdr:rowOff>
    </xdr:from>
    <xdr:to>
      <xdr:col>3</xdr:col>
      <xdr:colOff>3660775</xdr:colOff>
      <xdr:row>9</xdr:row>
      <xdr:rowOff>4860925</xdr:rowOff>
    </xdr:to>
    <xdr:sp>
      <xdr:nvSpPr>
        <xdr:cNvPr id="6" name="文本框 5"/>
        <xdr:cNvSpPr txBox="1"/>
      </xdr:nvSpPr>
      <xdr:spPr>
        <a:xfrm>
          <a:off x="3769995" y="21478875"/>
          <a:ext cx="3581400" cy="857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2200"/>
            <a:t> </a:t>
          </a:r>
          <a:r>
            <a:rPr lang="zh-CN" altLang="en-US" sz="2200" b="1"/>
            <a:t>办公室：太古里-14</a:t>
          </a:r>
          <a:r>
            <a:rPr lang="en-US" altLang="zh-CN" sz="2200" b="1"/>
            <a:t> </a:t>
          </a:r>
          <a:r>
            <a:rPr lang="zh-CN" altLang="en-US" sz="2200" b="1"/>
            <a:t>卡其色</a:t>
          </a:r>
          <a:endParaRPr lang="en-US" altLang="zh-CN" sz="2200" b="1"/>
        </a:p>
      </xdr:txBody>
    </xdr:sp>
    <xdr:clientData/>
  </xdr:twoCellAnchor>
  <xdr:twoCellAnchor editAs="oneCell">
    <xdr:from>
      <xdr:col>3</xdr:col>
      <xdr:colOff>123825</xdr:colOff>
      <xdr:row>10</xdr:row>
      <xdr:rowOff>66675</xdr:rowOff>
    </xdr:from>
    <xdr:to>
      <xdr:col>3</xdr:col>
      <xdr:colOff>3588385</xdr:colOff>
      <xdr:row>10</xdr:row>
      <xdr:rowOff>3680460</xdr:rowOff>
    </xdr:to>
    <xdr:pic>
      <xdr:nvPicPr>
        <xdr:cNvPr id="7" name="图片 6" descr="838254b75c4ac07e38a1f4c0901993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814445" y="22736175"/>
          <a:ext cx="3464560" cy="3613785"/>
        </a:xfrm>
        <a:prstGeom prst="rect">
          <a:avLst/>
        </a:prstGeom>
      </xdr:spPr>
    </xdr:pic>
    <xdr:clientData/>
  </xdr:twoCellAnchor>
  <xdr:twoCellAnchor>
    <xdr:from>
      <xdr:col>3</xdr:col>
      <xdr:colOff>149225</xdr:colOff>
      <xdr:row>10</xdr:row>
      <xdr:rowOff>3863975</xdr:rowOff>
    </xdr:from>
    <xdr:to>
      <xdr:col>3</xdr:col>
      <xdr:colOff>3729990</xdr:colOff>
      <xdr:row>10</xdr:row>
      <xdr:rowOff>4721225</xdr:rowOff>
    </xdr:to>
    <xdr:sp>
      <xdr:nvSpPr>
        <xdr:cNvPr id="8" name="文本框 7"/>
        <xdr:cNvSpPr txBox="1"/>
      </xdr:nvSpPr>
      <xdr:spPr>
        <a:xfrm>
          <a:off x="3839845" y="26533475"/>
          <a:ext cx="3580765" cy="857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2200"/>
            <a:t> </a:t>
          </a:r>
          <a:r>
            <a:rPr lang="zh-CN" altLang="en-US" sz="2200" b="1"/>
            <a:t>办公室</a:t>
          </a:r>
          <a:r>
            <a:rPr lang="en-US" altLang="zh-CN" sz="2200" b="1"/>
            <a:t>(</a:t>
          </a:r>
          <a:r>
            <a:rPr lang="zh-CN" altLang="en-US" sz="2200" b="1"/>
            <a:t>后勤）：太古里-1</a:t>
          </a:r>
          <a:r>
            <a:rPr lang="en-US" altLang="zh-CN" sz="2200" b="1"/>
            <a:t>3</a:t>
          </a:r>
          <a:r>
            <a:rPr lang="zh-CN" altLang="en-US" sz="2200" b="1"/>
            <a:t>浅卡其色</a:t>
          </a:r>
          <a:endParaRPr lang="en-US" altLang="zh-CN" sz="2200" b="1"/>
        </a:p>
      </xdr:txBody>
    </xdr:sp>
    <xdr:clientData/>
  </xdr:twoCellAnchor>
  <xdr:twoCellAnchor editAs="oneCell">
    <xdr:from>
      <xdr:col>3</xdr:col>
      <xdr:colOff>67310</xdr:colOff>
      <xdr:row>12</xdr:row>
      <xdr:rowOff>467360</xdr:rowOff>
    </xdr:from>
    <xdr:to>
      <xdr:col>3</xdr:col>
      <xdr:colOff>3703320</xdr:colOff>
      <xdr:row>12</xdr:row>
      <xdr:rowOff>5011420</xdr:rowOff>
    </xdr:to>
    <xdr:pic>
      <xdr:nvPicPr>
        <xdr:cNvPr id="13" name="图片 12" descr="6bf46d132bc7222b5678e91137ae875b"/>
        <xdr:cNvPicPr>
          <a:picLocks noChangeAspect="1"/>
        </xdr:cNvPicPr>
      </xdr:nvPicPr>
      <xdr:blipFill>
        <a:blip r:embed="rId8"/>
        <a:srcRect r="3177"/>
        <a:stretch>
          <a:fillRect/>
        </a:stretch>
      </xdr:blipFill>
      <xdr:spPr>
        <a:xfrm>
          <a:off x="3757930" y="33207960"/>
          <a:ext cx="3636010" cy="4544060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5</xdr:row>
      <xdr:rowOff>2162175</xdr:rowOff>
    </xdr:from>
    <xdr:to>
      <xdr:col>3</xdr:col>
      <xdr:colOff>3582035</xdr:colOff>
      <xdr:row>5</xdr:row>
      <xdr:rowOff>2638425</xdr:rowOff>
    </xdr:to>
    <xdr:sp>
      <xdr:nvSpPr>
        <xdr:cNvPr id="14" name="文本框 13"/>
        <xdr:cNvSpPr txBox="1"/>
      </xdr:nvSpPr>
      <xdr:spPr>
        <a:xfrm>
          <a:off x="3795395" y="7242175"/>
          <a:ext cx="3477260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2200" b="1"/>
            <a:t>病房：高精密加厚-37（蓝色</a:t>
          </a:r>
          <a:r>
            <a:rPr lang="zh-CN" altLang="en-US" sz="2000" b="1"/>
            <a:t>）</a:t>
          </a:r>
          <a:endParaRPr lang="zh-CN" altLang="en-US" sz="2000" b="1"/>
        </a:p>
      </xdr:txBody>
    </xdr:sp>
    <xdr:clientData/>
  </xdr:twoCellAnchor>
  <xdr:twoCellAnchor editAs="oneCell">
    <xdr:from>
      <xdr:col>3</xdr:col>
      <xdr:colOff>219075</xdr:colOff>
      <xdr:row>5</xdr:row>
      <xdr:rowOff>200660</xdr:rowOff>
    </xdr:from>
    <xdr:to>
      <xdr:col>3</xdr:col>
      <xdr:colOff>3497580</xdr:colOff>
      <xdr:row>5</xdr:row>
      <xdr:rowOff>2155825</xdr:rowOff>
    </xdr:to>
    <xdr:pic>
      <xdr:nvPicPr>
        <xdr:cNvPr id="15" name="图片 14" descr="e32b0df25ced02ae443e31c472f293f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909695" y="5280660"/>
          <a:ext cx="3278505" cy="1955165"/>
        </a:xfrm>
        <a:prstGeom prst="rect">
          <a:avLst/>
        </a:prstGeom>
      </xdr:spPr>
    </xdr:pic>
    <xdr:clientData/>
  </xdr:twoCellAnchor>
  <xdr:twoCellAnchor>
    <xdr:from>
      <xdr:col>3</xdr:col>
      <xdr:colOff>155575</xdr:colOff>
      <xdr:row>5</xdr:row>
      <xdr:rowOff>4422775</xdr:rowOff>
    </xdr:from>
    <xdr:to>
      <xdr:col>3</xdr:col>
      <xdr:colOff>3639185</xdr:colOff>
      <xdr:row>5</xdr:row>
      <xdr:rowOff>4899025</xdr:rowOff>
    </xdr:to>
    <xdr:sp>
      <xdr:nvSpPr>
        <xdr:cNvPr id="16" name="文本框 15"/>
        <xdr:cNvSpPr txBox="1"/>
      </xdr:nvSpPr>
      <xdr:spPr>
        <a:xfrm>
          <a:off x="3846195" y="9502775"/>
          <a:ext cx="3483610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2200" b="1"/>
            <a:t>普通诊室：特密-9（绿）</a:t>
          </a:r>
          <a:endParaRPr lang="zh-CN" altLang="en-US" sz="2200" b="1"/>
        </a:p>
      </xdr:txBody>
    </xdr:sp>
    <xdr:clientData/>
  </xdr:twoCellAnchor>
  <xdr:twoCellAnchor>
    <xdr:from>
      <xdr:col>3</xdr:col>
      <xdr:colOff>225425</xdr:colOff>
      <xdr:row>7</xdr:row>
      <xdr:rowOff>415925</xdr:rowOff>
    </xdr:from>
    <xdr:to>
      <xdr:col>3</xdr:col>
      <xdr:colOff>3601085</xdr:colOff>
      <xdr:row>7</xdr:row>
      <xdr:rowOff>892175</xdr:rowOff>
    </xdr:to>
    <xdr:sp>
      <xdr:nvSpPr>
        <xdr:cNvPr id="17" name="文本框 16"/>
        <xdr:cNvSpPr txBox="1"/>
      </xdr:nvSpPr>
      <xdr:spPr>
        <a:xfrm>
          <a:off x="3916045" y="11655425"/>
          <a:ext cx="3375660" cy="476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buClrTx/>
            <a:buSzTx/>
            <a:buFontTx/>
          </a:pPr>
          <a:r>
            <a:rPr lang="zh-CN" altLang="en-US" sz="2200" b="1"/>
            <a:t>VIP诊室：特密-23（米黄）</a:t>
          </a:r>
          <a:endParaRPr lang="zh-CN" altLang="en-US" sz="2200" b="1"/>
        </a:p>
      </xdr:txBody>
    </xdr:sp>
    <xdr:clientData/>
  </xdr:twoCellAnchor>
  <xdr:twoCellAnchor editAs="oneCell">
    <xdr:from>
      <xdr:col>3</xdr:col>
      <xdr:colOff>161925</xdr:colOff>
      <xdr:row>5</xdr:row>
      <xdr:rowOff>2623820</xdr:rowOff>
    </xdr:from>
    <xdr:to>
      <xdr:col>3</xdr:col>
      <xdr:colOff>3497580</xdr:colOff>
      <xdr:row>5</xdr:row>
      <xdr:rowOff>4370070</xdr:rowOff>
    </xdr:to>
    <xdr:pic>
      <xdr:nvPicPr>
        <xdr:cNvPr id="18" name="图片 17" descr="9f225f8bcfb8243a3c7ab1773733a24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852545" y="7703820"/>
          <a:ext cx="3335655" cy="1746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</xdr:row>
      <xdr:rowOff>4904740</xdr:rowOff>
    </xdr:from>
    <xdr:to>
      <xdr:col>3</xdr:col>
      <xdr:colOff>3497580</xdr:colOff>
      <xdr:row>7</xdr:row>
      <xdr:rowOff>343535</xdr:rowOff>
    </xdr:to>
    <xdr:pic>
      <xdr:nvPicPr>
        <xdr:cNvPr id="19" name="图片 18" descr="89f562578b29555c7334244d614eb1a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33495" y="9984740"/>
          <a:ext cx="3354705" cy="1598295"/>
        </a:xfrm>
        <a:prstGeom prst="rect">
          <a:avLst/>
        </a:prstGeom>
      </xdr:spPr>
    </xdr:pic>
    <xdr:clientData/>
  </xdr:twoCellAnchor>
  <xdr:twoCellAnchor>
    <xdr:from>
      <xdr:col>3</xdr:col>
      <xdr:colOff>726440</xdr:colOff>
      <xdr:row>15</xdr:row>
      <xdr:rowOff>460375</xdr:rowOff>
    </xdr:from>
    <xdr:to>
      <xdr:col>3</xdr:col>
      <xdr:colOff>3679190</xdr:colOff>
      <xdr:row>15</xdr:row>
      <xdr:rowOff>1033145</xdr:rowOff>
    </xdr:to>
    <xdr:sp>
      <xdr:nvSpPr>
        <xdr:cNvPr id="20" name="文本框 19"/>
        <xdr:cNvSpPr txBox="1"/>
      </xdr:nvSpPr>
      <xdr:spPr>
        <a:xfrm>
          <a:off x="4417060" y="44034075"/>
          <a:ext cx="2952750" cy="5727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2200" b="1"/>
            <a:t> </a:t>
          </a:r>
          <a:r>
            <a:rPr lang="en-US" altLang="zh-CN" sz="2400" b="1"/>
            <a:t>S6609</a:t>
          </a:r>
          <a:r>
            <a:rPr lang="zh-CN" altLang="en-US" sz="2400" b="1"/>
            <a:t>：米白银色</a:t>
          </a:r>
          <a:endParaRPr lang="en-US" altLang="zh-CN" sz="2400"/>
        </a:p>
        <a:p>
          <a:pPr algn="l"/>
          <a:endParaRPr lang="en-US" altLang="zh-CN" sz="2400" b="1"/>
        </a:p>
      </xdr:txBody>
    </xdr:sp>
    <xdr:clientData/>
  </xdr:twoCellAnchor>
  <xdr:twoCellAnchor editAs="oneCell">
    <xdr:from>
      <xdr:col>3</xdr:col>
      <xdr:colOff>67310</xdr:colOff>
      <xdr:row>14</xdr:row>
      <xdr:rowOff>1879600</xdr:rowOff>
    </xdr:from>
    <xdr:to>
      <xdr:col>3</xdr:col>
      <xdr:colOff>3600450</xdr:colOff>
      <xdr:row>15</xdr:row>
      <xdr:rowOff>77470</xdr:rowOff>
    </xdr:to>
    <xdr:pic>
      <xdr:nvPicPr>
        <xdr:cNvPr id="21" name="图片 20" descr="67357f931c398b5ea4c30c7f3f42870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757930" y="40259000"/>
          <a:ext cx="3533140" cy="3392170"/>
        </a:xfrm>
        <a:prstGeom prst="rect">
          <a:avLst/>
        </a:prstGeom>
      </xdr:spPr>
    </xdr:pic>
    <xdr:clientData/>
  </xdr:twoCellAnchor>
  <xdr:twoCellAnchor>
    <xdr:from>
      <xdr:col>3</xdr:col>
      <xdr:colOff>808990</xdr:colOff>
      <xdr:row>12</xdr:row>
      <xdr:rowOff>5019675</xdr:rowOff>
    </xdr:from>
    <xdr:to>
      <xdr:col>3</xdr:col>
      <xdr:colOff>3076575</xdr:colOff>
      <xdr:row>13</xdr:row>
      <xdr:rowOff>187325</xdr:rowOff>
    </xdr:to>
    <xdr:sp>
      <xdr:nvSpPr>
        <xdr:cNvPr id="24" name="文本框 23"/>
        <xdr:cNvSpPr txBox="1"/>
      </xdr:nvSpPr>
      <xdr:spPr>
        <a:xfrm>
          <a:off x="4499610" y="37760275"/>
          <a:ext cx="2267585" cy="349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2200"/>
            <a:t> </a:t>
          </a:r>
          <a:r>
            <a:rPr lang="zh-CN" altLang="en-US" sz="2200" b="1"/>
            <a:t>金刚纱：米白色</a:t>
          </a:r>
          <a:endParaRPr lang="en-US" altLang="zh-CN" sz="2200" b="1"/>
        </a:p>
      </xdr:txBody>
    </xdr:sp>
    <xdr:clientData/>
  </xdr:twoCellAnchor>
  <xdr:twoCellAnchor editAs="oneCell">
    <xdr:from>
      <xdr:col>3</xdr:col>
      <xdr:colOff>168910</xdr:colOff>
      <xdr:row>17</xdr:row>
      <xdr:rowOff>584200</xdr:rowOff>
    </xdr:from>
    <xdr:to>
      <xdr:col>3</xdr:col>
      <xdr:colOff>3625215</xdr:colOff>
      <xdr:row>17</xdr:row>
      <xdr:rowOff>3705860</xdr:rowOff>
    </xdr:to>
    <xdr:pic>
      <xdr:nvPicPr>
        <xdr:cNvPr id="9" name="图片 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859530" y="52717700"/>
          <a:ext cx="3456305" cy="312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16</xdr:row>
      <xdr:rowOff>469900</xdr:rowOff>
    </xdr:from>
    <xdr:to>
      <xdr:col>2</xdr:col>
      <xdr:colOff>1405255</xdr:colOff>
      <xdr:row>16</xdr:row>
      <xdr:rowOff>2690495</xdr:rowOff>
    </xdr:to>
    <xdr:pic>
      <xdr:nvPicPr>
        <xdr:cNvPr id="23" name="图片 22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2188210" y="49237900"/>
          <a:ext cx="1405255" cy="2220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854710</xdr:colOff>
      <xdr:row>16</xdr:row>
      <xdr:rowOff>208280</xdr:rowOff>
    </xdr:from>
    <xdr:to>
      <xdr:col>3</xdr:col>
      <xdr:colOff>2776220</xdr:colOff>
      <xdr:row>16</xdr:row>
      <xdr:rowOff>3242945</xdr:rowOff>
    </xdr:to>
    <xdr:pic>
      <xdr:nvPicPr>
        <xdr:cNvPr id="25" name="图片 24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4545330" y="48976280"/>
          <a:ext cx="1921510" cy="303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153035</xdr:colOff>
      <xdr:row>20</xdr:row>
      <xdr:rowOff>451485</xdr:rowOff>
    </xdr:from>
    <xdr:to>
      <xdr:col>3</xdr:col>
      <xdr:colOff>3639185</xdr:colOff>
      <xdr:row>20</xdr:row>
      <xdr:rowOff>3692525</xdr:rowOff>
    </xdr:to>
    <xdr:pic>
      <xdr:nvPicPr>
        <xdr:cNvPr id="28" name="图片 2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843655" y="65805685"/>
          <a:ext cx="3486150" cy="3241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74295</xdr:colOff>
      <xdr:row>18</xdr:row>
      <xdr:rowOff>692150</xdr:rowOff>
    </xdr:from>
    <xdr:to>
      <xdr:col>4</xdr:col>
      <xdr:colOff>0</xdr:colOff>
      <xdr:row>18</xdr:row>
      <xdr:rowOff>3962400</xdr:rowOff>
    </xdr:to>
    <xdr:pic>
      <xdr:nvPicPr>
        <xdr:cNvPr id="26" name="图片 2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764915" y="57232550"/>
          <a:ext cx="3697605" cy="327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240030</xdr:colOff>
      <xdr:row>19</xdr:row>
      <xdr:rowOff>609600</xdr:rowOff>
    </xdr:from>
    <xdr:to>
      <xdr:col>3</xdr:col>
      <xdr:colOff>3658870</xdr:colOff>
      <xdr:row>19</xdr:row>
      <xdr:rowOff>3980180</xdr:rowOff>
    </xdr:to>
    <xdr:pic>
      <xdr:nvPicPr>
        <xdr:cNvPr id="27" name="图片 2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930650" y="61556900"/>
          <a:ext cx="3418840" cy="33705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1417320</xdr:colOff>
      <xdr:row>2</xdr:row>
      <xdr:rowOff>41910</xdr:rowOff>
    </xdr:from>
    <xdr:to>
      <xdr:col>4</xdr:col>
      <xdr:colOff>2558415</xdr:colOff>
      <xdr:row>2</xdr:row>
      <xdr:rowOff>2453640</xdr:rowOff>
    </xdr:to>
    <xdr:pic>
      <xdr:nvPicPr>
        <xdr:cNvPr id="7" name="图片 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779510" y="2073910"/>
          <a:ext cx="1141095" cy="2411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1417320</xdr:colOff>
      <xdr:row>3</xdr:row>
      <xdr:rowOff>102870</xdr:rowOff>
    </xdr:from>
    <xdr:to>
      <xdr:col>4</xdr:col>
      <xdr:colOff>2558415</xdr:colOff>
      <xdr:row>3</xdr:row>
      <xdr:rowOff>2514600</xdr:rowOff>
    </xdr:to>
    <xdr:pic>
      <xdr:nvPicPr>
        <xdr:cNvPr id="8" name="图片 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779510" y="4676775"/>
          <a:ext cx="1141095" cy="2411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1356360</xdr:colOff>
      <xdr:row>4</xdr:row>
      <xdr:rowOff>102870</xdr:rowOff>
    </xdr:from>
    <xdr:to>
      <xdr:col>4</xdr:col>
      <xdr:colOff>2497455</xdr:colOff>
      <xdr:row>4</xdr:row>
      <xdr:rowOff>2514600</xdr:rowOff>
    </xdr:to>
    <xdr:pic>
      <xdr:nvPicPr>
        <xdr:cNvPr id="9" name="图片 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718550" y="7218680"/>
          <a:ext cx="1141095" cy="2411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1478280</xdr:colOff>
      <xdr:row>7</xdr:row>
      <xdr:rowOff>11430</xdr:rowOff>
    </xdr:from>
    <xdr:to>
      <xdr:col>4</xdr:col>
      <xdr:colOff>2619375</xdr:colOff>
      <xdr:row>7</xdr:row>
      <xdr:rowOff>2423160</xdr:rowOff>
    </xdr:to>
    <xdr:pic>
      <xdr:nvPicPr>
        <xdr:cNvPr id="10" name="图片 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840470" y="14752955"/>
          <a:ext cx="1141095" cy="2411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1356360</xdr:colOff>
      <xdr:row>6</xdr:row>
      <xdr:rowOff>20320</xdr:rowOff>
    </xdr:from>
    <xdr:to>
      <xdr:col>4</xdr:col>
      <xdr:colOff>2707005</xdr:colOff>
      <xdr:row>6</xdr:row>
      <xdr:rowOff>2377440</xdr:rowOff>
    </xdr:to>
    <xdr:pic>
      <xdr:nvPicPr>
        <xdr:cNvPr id="11" name="图片 10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718550" y="12219940"/>
          <a:ext cx="1350645" cy="2357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1417320</xdr:colOff>
      <xdr:row>5</xdr:row>
      <xdr:rowOff>133350</xdr:rowOff>
    </xdr:from>
    <xdr:to>
      <xdr:col>4</xdr:col>
      <xdr:colOff>2767965</xdr:colOff>
      <xdr:row>5</xdr:row>
      <xdr:rowOff>2490470</xdr:rowOff>
    </xdr:to>
    <xdr:pic>
      <xdr:nvPicPr>
        <xdr:cNvPr id="12" name="图片 1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779510" y="9791065"/>
          <a:ext cx="1350645" cy="2357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1325880</xdr:colOff>
      <xdr:row>8</xdr:row>
      <xdr:rowOff>72390</xdr:rowOff>
    </xdr:from>
    <xdr:to>
      <xdr:col>4</xdr:col>
      <xdr:colOff>2466975</xdr:colOff>
      <xdr:row>8</xdr:row>
      <xdr:rowOff>2484120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688070" y="17355820"/>
          <a:ext cx="1141095" cy="2411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1361440</xdr:colOff>
      <xdr:row>9</xdr:row>
      <xdr:rowOff>46990</xdr:rowOff>
    </xdr:from>
    <xdr:to>
      <xdr:col>4</xdr:col>
      <xdr:colOff>2502535</xdr:colOff>
      <xdr:row>9</xdr:row>
      <xdr:rowOff>2458720</xdr:rowOff>
    </xdr:to>
    <xdr:pic>
      <xdr:nvPicPr>
        <xdr:cNvPr id="14" name="图片 1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723630" y="19872325"/>
          <a:ext cx="1141095" cy="2411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956310</xdr:colOff>
      <xdr:row>12</xdr:row>
      <xdr:rowOff>69850</xdr:rowOff>
    </xdr:from>
    <xdr:to>
      <xdr:col>4</xdr:col>
      <xdr:colOff>2774315</xdr:colOff>
      <xdr:row>12</xdr:row>
      <xdr:rowOff>2389505</xdr:rowOff>
    </xdr:to>
    <xdr:pic>
      <xdr:nvPicPr>
        <xdr:cNvPr id="22" name="图片 21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18500" y="2752090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746760</xdr:colOff>
      <xdr:row>16</xdr:row>
      <xdr:rowOff>83185</xdr:rowOff>
    </xdr:from>
    <xdr:to>
      <xdr:col>4</xdr:col>
      <xdr:colOff>2564765</xdr:colOff>
      <xdr:row>16</xdr:row>
      <xdr:rowOff>2402840</xdr:rowOff>
    </xdr:to>
    <xdr:pic>
      <xdr:nvPicPr>
        <xdr:cNvPr id="27" name="图片 26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08950" y="3770185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807720</xdr:colOff>
      <xdr:row>19</xdr:row>
      <xdr:rowOff>102235</xdr:rowOff>
    </xdr:from>
    <xdr:to>
      <xdr:col>4</xdr:col>
      <xdr:colOff>2625725</xdr:colOff>
      <xdr:row>19</xdr:row>
      <xdr:rowOff>2421890</xdr:rowOff>
    </xdr:to>
    <xdr:pic>
      <xdr:nvPicPr>
        <xdr:cNvPr id="31" name="图片 30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69910" y="4534662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960120</xdr:colOff>
      <xdr:row>27</xdr:row>
      <xdr:rowOff>71755</xdr:rowOff>
    </xdr:from>
    <xdr:to>
      <xdr:col>4</xdr:col>
      <xdr:colOff>2778125</xdr:colOff>
      <xdr:row>27</xdr:row>
      <xdr:rowOff>2391410</xdr:rowOff>
    </xdr:to>
    <xdr:pic>
      <xdr:nvPicPr>
        <xdr:cNvPr id="40" name="图片 39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22310" y="6565138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361950</xdr:colOff>
      <xdr:row>26</xdr:row>
      <xdr:rowOff>1828800</xdr:rowOff>
    </xdr:from>
    <xdr:to>
      <xdr:col>4</xdr:col>
      <xdr:colOff>2914650</xdr:colOff>
      <xdr:row>26</xdr:row>
      <xdr:rowOff>1828800</xdr:rowOff>
    </xdr:to>
    <xdr:pic>
      <xdr:nvPicPr>
        <xdr:cNvPr id="43" name="图片 6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23210" r="50121" b="49799"/>
        <a:stretch>
          <a:fillRect/>
        </a:stretch>
      </xdr:blipFill>
      <xdr:spPr>
        <a:xfrm>
          <a:off x="7724140" y="64866520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995680</xdr:colOff>
      <xdr:row>26</xdr:row>
      <xdr:rowOff>137795</xdr:rowOff>
    </xdr:from>
    <xdr:to>
      <xdr:col>4</xdr:col>
      <xdr:colOff>2813685</xdr:colOff>
      <xdr:row>26</xdr:row>
      <xdr:rowOff>2457450</xdr:rowOff>
    </xdr:to>
    <xdr:pic>
      <xdr:nvPicPr>
        <xdr:cNvPr id="45" name="图片 44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57870" y="6317551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361950</xdr:colOff>
      <xdr:row>30</xdr:row>
      <xdr:rowOff>1828800</xdr:rowOff>
    </xdr:from>
    <xdr:to>
      <xdr:col>4</xdr:col>
      <xdr:colOff>2914650</xdr:colOff>
      <xdr:row>30</xdr:row>
      <xdr:rowOff>1828800</xdr:rowOff>
    </xdr:to>
    <xdr:pic>
      <xdr:nvPicPr>
        <xdr:cNvPr id="46" name="图片 6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23210" r="50121" b="49799"/>
        <a:stretch>
          <a:fillRect/>
        </a:stretch>
      </xdr:blipFill>
      <xdr:spPr>
        <a:xfrm>
          <a:off x="7724140" y="75197335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906780</xdr:colOff>
      <xdr:row>31</xdr:row>
      <xdr:rowOff>106045</xdr:rowOff>
    </xdr:from>
    <xdr:to>
      <xdr:col>4</xdr:col>
      <xdr:colOff>2724785</xdr:colOff>
      <xdr:row>31</xdr:row>
      <xdr:rowOff>2425700</xdr:rowOff>
    </xdr:to>
    <xdr:pic>
      <xdr:nvPicPr>
        <xdr:cNvPr id="48" name="图片 47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68970" y="7601648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911860</xdr:colOff>
      <xdr:row>30</xdr:row>
      <xdr:rowOff>61595</xdr:rowOff>
    </xdr:from>
    <xdr:to>
      <xdr:col>4</xdr:col>
      <xdr:colOff>2729865</xdr:colOff>
      <xdr:row>30</xdr:row>
      <xdr:rowOff>2381250</xdr:rowOff>
    </xdr:to>
    <xdr:pic>
      <xdr:nvPicPr>
        <xdr:cNvPr id="51" name="图片 50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74050" y="7343013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961390</xdr:colOff>
      <xdr:row>10</xdr:row>
      <xdr:rowOff>166370</xdr:rowOff>
    </xdr:from>
    <xdr:to>
      <xdr:col>4</xdr:col>
      <xdr:colOff>2779395</xdr:colOff>
      <xdr:row>10</xdr:row>
      <xdr:rowOff>2486025</xdr:rowOff>
    </xdr:to>
    <xdr:pic>
      <xdr:nvPicPr>
        <xdr:cNvPr id="2" name="图片 1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23580" y="2253361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1027430</xdr:colOff>
      <xdr:row>11</xdr:row>
      <xdr:rowOff>110490</xdr:rowOff>
    </xdr:from>
    <xdr:to>
      <xdr:col>4</xdr:col>
      <xdr:colOff>2845435</xdr:colOff>
      <xdr:row>11</xdr:row>
      <xdr:rowOff>2430145</xdr:rowOff>
    </xdr:to>
    <xdr:pic>
      <xdr:nvPicPr>
        <xdr:cNvPr id="3" name="图片 2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89620" y="2501963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960120</xdr:colOff>
      <xdr:row>13</xdr:row>
      <xdr:rowOff>86360</xdr:rowOff>
    </xdr:from>
    <xdr:to>
      <xdr:col>4</xdr:col>
      <xdr:colOff>2778125</xdr:colOff>
      <xdr:row>13</xdr:row>
      <xdr:rowOff>2406015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22310" y="3007931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934720</xdr:colOff>
      <xdr:row>14</xdr:row>
      <xdr:rowOff>121920</xdr:rowOff>
    </xdr:from>
    <xdr:to>
      <xdr:col>4</xdr:col>
      <xdr:colOff>2752725</xdr:colOff>
      <xdr:row>14</xdr:row>
      <xdr:rowOff>2441575</xdr:rowOff>
    </xdr:to>
    <xdr:pic>
      <xdr:nvPicPr>
        <xdr:cNvPr id="5" name="图片 4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96910" y="3265678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756920</xdr:colOff>
      <xdr:row>15</xdr:row>
      <xdr:rowOff>127000</xdr:rowOff>
    </xdr:from>
    <xdr:to>
      <xdr:col>4</xdr:col>
      <xdr:colOff>2574925</xdr:colOff>
      <xdr:row>15</xdr:row>
      <xdr:rowOff>2446655</xdr:rowOff>
    </xdr:to>
    <xdr:pic>
      <xdr:nvPicPr>
        <xdr:cNvPr id="6" name="图片 5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19110" y="3520376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746760</xdr:colOff>
      <xdr:row>17</xdr:row>
      <xdr:rowOff>72390</xdr:rowOff>
    </xdr:from>
    <xdr:to>
      <xdr:col>4</xdr:col>
      <xdr:colOff>2564765</xdr:colOff>
      <xdr:row>17</xdr:row>
      <xdr:rowOff>2392045</xdr:rowOff>
    </xdr:to>
    <xdr:pic>
      <xdr:nvPicPr>
        <xdr:cNvPr id="18" name="图片 17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08950" y="4023296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868680</xdr:colOff>
      <xdr:row>18</xdr:row>
      <xdr:rowOff>163830</xdr:rowOff>
    </xdr:from>
    <xdr:to>
      <xdr:col>4</xdr:col>
      <xdr:colOff>2686685</xdr:colOff>
      <xdr:row>18</xdr:row>
      <xdr:rowOff>2483485</xdr:rowOff>
    </xdr:to>
    <xdr:pic>
      <xdr:nvPicPr>
        <xdr:cNvPr id="19" name="图片 18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30870" y="4286631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762000</xdr:colOff>
      <xdr:row>20</xdr:row>
      <xdr:rowOff>133350</xdr:rowOff>
    </xdr:from>
    <xdr:to>
      <xdr:col>4</xdr:col>
      <xdr:colOff>2580005</xdr:colOff>
      <xdr:row>20</xdr:row>
      <xdr:rowOff>2453005</xdr:rowOff>
    </xdr:to>
    <xdr:pic>
      <xdr:nvPicPr>
        <xdr:cNvPr id="55" name="图片 54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24190" y="4791964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767080</xdr:colOff>
      <xdr:row>21</xdr:row>
      <xdr:rowOff>107950</xdr:rowOff>
    </xdr:from>
    <xdr:to>
      <xdr:col>4</xdr:col>
      <xdr:colOff>2585085</xdr:colOff>
      <xdr:row>21</xdr:row>
      <xdr:rowOff>2427605</xdr:rowOff>
    </xdr:to>
    <xdr:pic>
      <xdr:nvPicPr>
        <xdr:cNvPr id="56" name="图片 55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29270" y="5043614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960120</xdr:colOff>
      <xdr:row>22</xdr:row>
      <xdr:rowOff>72390</xdr:rowOff>
    </xdr:from>
    <xdr:to>
      <xdr:col>4</xdr:col>
      <xdr:colOff>2778125</xdr:colOff>
      <xdr:row>22</xdr:row>
      <xdr:rowOff>2392045</xdr:rowOff>
    </xdr:to>
    <xdr:pic>
      <xdr:nvPicPr>
        <xdr:cNvPr id="57" name="图片 56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322310" y="5294249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899160</xdr:colOff>
      <xdr:row>23</xdr:row>
      <xdr:rowOff>133350</xdr:rowOff>
    </xdr:from>
    <xdr:to>
      <xdr:col>4</xdr:col>
      <xdr:colOff>2717165</xdr:colOff>
      <xdr:row>23</xdr:row>
      <xdr:rowOff>2453005</xdr:rowOff>
    </xdr:to>
    <xdr:pic>
      <xdr:nvPicPr>
        <xdr:cNvPr id="58" name="图片 57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61350" y="5554535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904240</xdr:colOff>
      <xdr:row>24</xdr:row>
      <xdr:rowOff>107950</xdr:rowOff>
    </xdr:from>
    <xdr:to>
      <xdr:col>4</xdr:col>
      <xdr:colOff>2722245</xdr:colOff>
      <xdr:row>24</xdr:row>
      <xdr:rowOff>2427605</xdr:rowOff>
    </xdr:to>
    <xdr:pic>
      <xdr:nvPicPr>
        <xdr:cNvPr id="59" name="图片 58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66430" y="5806186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817880</xdr:colOff>
      <xdr:row>25</xdr:row>
      <xdr:rowOff>82550</xdr:rowOff>
    </xdr:from>
    <xdr:to>
      <xdr:col>4</xdr:col>
      <xdr:colOff>2635885</xdr:colOff>
      <xdr:row>25</xdr:row>
      <xdr:rowOff>2402205</xdr:rowOff>
    </xdr:to>
    <xdr:pic>
      <xdr:nvPicPr>
        <xdr:cNvPr id="60" name="图片 59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180070" y="6057836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868680</xdr:colOff>
      <xdr:row>28</xdr:row>
      <xdr:rowOff>194310</xdr:rowOff>
    </xdr:from>
    <xdr:to>
      <xdr:col>4</xdr:col>
      <xdr:colOff>2686685</xdr:colOff>
      <xdr:row>28</xdr:row>
      <xdr:rowOff>2513965</xdr:rowOff>
    </xdr:to>
    <xdr:pic>
      <xdr:nvPicPr>
        <xdr:cNvPr id="61" name="图片 60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30870" y="68315840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904240</xdr:colOff>
      <xdr:row>29</xdr:row>
      <xdr:rowOff>199390</xdr:rowOff>
    </xdr:from>
    <xdr:to>
      <xdr:col>4</xdr:col>
      <xdr:colOff>2722245</xdr:colOff>
      <xdr:row>29</xdr:row>
      <xdr:rowOff>2519045</xdr:rowOff>
    </xdr:to>
    <xdr:pic>
      <xdr:nvPicPr>
        <xdr:cNvPr id="62" name="图片 61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66430" y="7086282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895350</xdr:colOff>
      <xdr:row>32</xdr:row>
      <xdr:rowOff>121920</xdr:rowOff>
    </xdr:from>
    <xdr:to>
      <xdr:col>4</xdr:col>
      <xdr:colOff>2713355</xdr:colOff>
      <xdr:row>32</xdr:row>
      <xdr:rowOff>2441575</xdr:rowOff>
    </xdr:to>
    <xdr:pic>
      <xdr:nvPicPr>
        <xdr:cNvPr id="63" name="图片 62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57540" y="78574265"/>
          <a:ext cx="1818005" cy="231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921385</xdr:colOff>
      <xdr:row>33</xdr:row>
      <xdr:rowOff>183515</xdr:rowOff>
    </xdr:from>
    <xdr:to>
      <xdr:col>4</xdr:col>
      <xdr:colOff>2739390</xdr:colOff>
      <xdr:row>33</xdr:row>
      <xdr:rowOff>2319655</xdr:rowOff>
    </xdr:to>
    <xdr:pic>
      <xdr:nvPicPr>
        <xdr:cNvPr id="64" name="图片 63"/>
        <xdr:cNvPicPr>
          <a:picLocks noChangeAspect="1"/>
        </xdr:cNvPicPr>
      </xdr:nvPicPr>
      <xdr:blipFill>
        <a:blip r:embed="rId3" cstate="print">
          <a:lum bright="-6000" contrast="30000"/>
        </a:blip>
        <a:stretch>
          <a:fillRect/>
        </a:stretch>
      </xdr:blipFill>
      <xdr:spPr>
        <a:xfrm>
          <a:off x="8283575" y="81177765"/>
          <a:ext cx="1818005" cy="21361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1091565</xdr:colOff>
      <xdr:row>7</xdr:row>
      <xdr:rowOff>12065</xdr:rowOff>
    </xdr:from>
    <xdr:to>
      <xdr:col>4</xdr:col>
      <xdr:colOff>2406650</xdr:colOff>
      <xdr:row>8</xdr:row>
      <xdr:rowOff>12065</xdr:rowOff>
    </xdr:to>
    <xdr:pic>
      <xdr:nvPicPr>
        <xdr:cNvPr id="33" name="图片 3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475359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591820</xdr:colOff>
      <xdr:row>5</xdr:row>
      <xdr:rowOff>12065</xdr:rowOff>
    </xdr:from>
    <xdr:to>
      <xdr:col>4</xdr:col>
      <xdr:colOff>2907030</xdr:colOff>
      <xdr:row>5</xdr:row>
      <xdr:rowOff>2457450</xdr:rowOff>
    </xdr:to>
    <xdr:pic>
      <xdr:nvPicPr>
        <xdr:cNvPr id="34" name="图片 33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138285" y="9669780"/>
          <a:ext cx="2315210" cy="244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554355</xdr:colOff>
      <xdr:row>6</xdr:row>
      <xdr:rowOff>12065</xdr:rowOff>
    </xdr:from>
    <xdr:to>
      <xdr:col>4</xdr:col>
      <xdr:colOff>2944495</xdr:colOff>
      <xdr:row>6</xdr:row>
      <xdr:rowOff>2512695</xdr:rowOff>
    </xdr:to>
    <xdr:pic>
      <xdr:nvPicPr>
        <xdr:cNvPr id="35" name="图片 34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100820" y="12211685"/>
          <a:ext cx="2390140" cy="2500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1050290</xdr:colOff>
      <xdr:row>12</xdr:row>
      <xdr:rowOff>12065</xdr:rowOff>
    </xdr:from>
    <xdr:to>
      <xdr:col>4</xdr:col>
      <xdr:colOff>2447925</xdr:colOff>
      <xdr:row>12</xdr:row>
      <xdr:rowOff>2454910</xdr:rowOff>
    </xdr:to>
    <xdr:pic>
      <xdr:nvPicPr>
        <xdr:cNvPr id="41" name="图片 40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2746311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591820</xdr:colOff>
      <xdr:row>10</xdr:row>
      <xdr:rowOff>12065</xdr:rowOff>
    </xdr:from>
    <xdr:to>
      <xdr:col>4</xdr:col>
      <xdr:colOff>2907030</xdr:colOff>
      <xdr:row>10</xdr:row>
      <xdr:rowOff>2457450</xdr:rowOff>
    </xdr:to>
    <xdr:pic>
      <xdr:nvPicPr>
        <xdr:cNvPr id="42" name="图片 4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138285" y="22379305"/>
          <a:ext cx="2315210" cy="244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591820</xdr:colOff>
      <xdr:row>11</xdr:row>
      <xdr:rowOff>11430</xdr:rowOff>
    </xdr:from>
    <xdr:to>
      <xdr:col>4</xdr:col>
      <xdr:colOff>2907030</xdr:colOff>
      <xdr:row>11</xdr:row>
      <xdr:rowOff>2456815</xdr:rowOff>
    </xdr:to>
    <xdr:pic>
      <xdr:nvPicPr>
        <xdr:cNvPr id="43" name="图片 4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138285" y="24920575"/>
          <a:ext cx="2315210" cy="244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885825</xdr:colOff>
      <xdr:row>12</xdr:row>
      <xdr:rowOff>11430</xdr:rowOff>
    </xdr:from>
    <xdr:to>
      <xdr:col>4</xdr:col>
      <xdr:colOff>2613025</xdr:colOff>
      <xdr:row>13</xdr:row>
      <xdr:rowOff>11430</xdr:rowOff>
    </xdr:to>
    <xdr:pic>
      <xdr:nvPicPr>
        <xdr:cNvPr id="44" name="图片 4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432290" y="27462480"/>
          <a:ext cx="1727200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473075</xdr:colOff>
      <xdr:row>15</xdr:row>
      <xdr:rowOff>1828800</xdr:rowOff>
    </xdr:from>
    <xdr:to>
      <xdr:col>4</xdr:col>
      <xdr:colOff>3025775</xdr:colOff>
      <xdr:row>15</xdr:row>
      <xdr:rowOff>1828800</xdr:rowOff>
    </xdr:to>
    <xdr:pic>
      <xdr:nvPicPr>
        <xdr:cNvPr id="48" name="图片 6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23210" r="50121" b="49799"/>
        <a:stretch>
          <a:fillRect/>
        </a:stretch>
      </xdr:blipFill>
      <xdr:spPr>
        <a:xfrm>
          <a:off x="9019540" y="36905565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751840</xdr:colOff>
      <xdr:row>17</xdr:row>
      <xdr:rowOff>17145</xdr:rowOff>
    </xdr:from>
    <xdr:to>
      <xdr:col>4</xdr:col>
      <xdr:colOff>2746375</xdr:colOff>
      <xdr:row>17</xdr:row>
      <xdr:rowOff>2449830</xdr:rowOff>
    </xdr:to>
    <xdr:pic>
      <xdr:nvPicPr>
        <xdr:cNvPr id="49" name="图片 48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40177720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1050290</xdr:colOff>
      <xdr:row>18</xdr:row>
      <xdr:rowOff>12065</xdr:rowOff>
    </xdr:from>
    <xdr:to>
      <xdr:col>4</xdr:col>
      <xdr:colOff>2447925</xdr:colOff>
      <xdr:row>18</xdr:row>
      <xdr:rowOff>2454910</xdr:rowOff>
    </xdr:to>
    <xdr:pic>
      <xdr:nvPicPr>
        <xdr:cNvPr id="50" name="图片 49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427145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18</xdr:row>
      <xdr:rowOff>12065</xdr:rowOff>
    </xdr:from>
    <xdr:to>
      <xdr:col>4</xdr:col>
      <xdr:colOff>2447925</xdr:colOff>
      <xdr:row>18</xdr:row>
      <xdr:rowOff>2455545</xdr:rowOff>
    </xdr:to>
    <xdr:pic>
      <xdr:nvPicPr>
        <xdr:cNvPr id="51" name="图片 50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42714545"/>
          <a:ext cx="1397635" cy="244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18</xdr:row>
      <xdr:rowOff>12065</xdr:rowOff>
    </xdr:from>
    <xdr:to>
      <xdr:col>4</xdr:col>
      <xdr:colOff>2447925</xdr:colOff>
      <xdr:row>18</xdr:row>
      <xdr:rowOff>2454910</xdr:rowOff>
    </xdr:to>
    <xdr:pic>
      <xdr:nvPicPr>
        <xdr:cNvPr id="52" name="图片 51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427145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18</xdr:row>
      <xdr:rowOff>12065</xdr:rowOff>
    </xdr:from>
    <xdr:to>
      <xdr:col>4</xdr:col>
      <xdr:colOff>2447925</xdr:colOff>
      <xdr:row>18</xdr:row>
      <xdr:rowOff>2454910</xdr:rowOff>
    </xdr:to>
    <xdr:pic>
      <xdr:nvPicPr>
        <xdr:cNvPr id="53" name="图片 52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427145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18</xdr:row>
      <xdr:rowOff>12065</xdr:rowOff>
    </xdr:from>
    <xdr:to>
      <xdr:col>4</xdr:col>
      <xdr:colOff>2447925</xdr:colOff>
      <xdr:row>18</xdr:row>
      <xdr:rowOff>2454910</xdr:rowOff>
    </xdr:to>
    <xdr:pic>
      <xdr:nvPicPr>
        <xdr:cNvPr id="54" name="图片 53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427145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682625</xdr:colOff>
      <xdr:row>19</xdr:row>
      <xdr:rowOff>74295</xdr:rowOff>
    </xdr:from>
    <xdr:to>
      <xdr:col>4</xdr:col>
      <xdr:colOff>2815590</xdr:colOff>
      <xdr:row>19</xdr:row>
      <xdr:rowOff>2501265</xdr:rowOff>
    </xdr:to>
    <xdr:pic>
      <xdr:nvPicPr>
        <xdr:cNvPr id="55" name="图片 54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45318680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20</xdr:row>
      <xdr:rowOff>67945</xdr:rowOff>
    </xdr:from>
    <xdr:to>
      <xdr:col>4</xdr:col>
      <xdr:colOff>2815590</xdr:colOff>
      <xdr:row>20</xdr:row>
      <xdr:rowOff>2494915</xdr:rowOff>
    </xdr:to>
    <xdr:pic>
      <xdr:nvPicPr>
        <xdr:cNvPr id="56" name="图片 55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47854235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18</xdr:row>
      <xdr:rowOff>12065</xdr:rowOff>
    </xdr:from>
    <xdr:to>
      <xdr:col>4</xdr:col>
      <xdr:colOff>2815590</xdr:colOff>
      <xdr:row>18</xdr:row>
      <xdr:rowOff>2439035</xdr:rowOff>
    </xdr:to>
    <xdr:pic>
      <xdr:nvPicPr>
        <xdr:cNvPr id="57" name="图片 5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42714545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21</xdr:row>
      <xdr:rowOff>73025</xdr:rowOff>
    </xdr:from>
    <xdr:to>
      <xdr:col>4</xdr:col>
      <xdr:colOff>2815590</xdr:colOff>
      <xdr:row>21</xdr:row>
      <xdr:rowOff>2499995</xdr:rowOff>
    </xdr:to>
    <xdr:pic>
      <xdr:nvPicPr>
        <xdr:cNvPr id="61" name="图片 60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50401220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473075</xdr:colOff>
      <xdr:row>22</xdr:row>
      <xdr:rowOff>1828800</xdr:rowOff>
    </xdr:from>
    <xdr:to>
      <xdr:col>4</xdr:col>
      <xdr:colOff>3025775</xdr:colOff>
      <xdr:row>22</xdr:row>
      <xdr:rowOff>1828800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23210" r="50121" b="49799"/>
        <a:stretch>
          <a:fillRect/>
        </a:stretch>
      </xdr:blipFill>
      <xdr:spPr>
        <a:xfrm>
          <a:off x="9019540" y="54698900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427990</xdr:colOff>
      <xdr:row>22</xdr:row>
      <xdr:rowOff>22860</xdr:rowOff>
    </xdr:from>
    <xdr:to>
      <xdr:col>4</xdr:col>
      <xdr:colOff>3070225</xdr:colOff>
      <xdr:row>22</xdr:row>
      <xdr:rowOff>2416175</xdr:rowOff>
    </xdr:to>
    <xdr:pic>
      <xdr:nvPicPr>
        <xdr:cNvPr id="63" name="图片 62" descr="jhk-1777226400003"/>
        <xdr:cNvPicPr>
          <a:picLocks noChangeAspect="1"/>
        </xdr:cNvPicPr>
      </xdr:nvPicPr>
      <xdr:blipFill>
        <a:blip r:embed="rId7" cstate="print"/>
        <a:srcRect t="19419" b="20380"/>
        <a:stretch>
          <a:fillRect/>
        </a:stretch>
      </xdr:blipFill>
      <xdr:spPr>
        <a:xfrm>
          <a:off x="8974455" y="52892960"/>
          <a:ext cx="2642235" cy="2393315"/>
        </a:xfrm>
        <a:prstGeom prst="rect">
          <a:avLst/>
        </a:prstGeom>
      </xdr:spPr>
    </xdr:pic>
    <xdr:clientData/>
  </xdr:twoCellAnchor>
  <xdr:twoCellAnchor editAs="oneCell">
    <xdr:from>
      <xdr:col>4</xdr:col>
      <xdr:colOff>682625</xdr:colOff>
      <xdr:row>29</xdr:row>
      <xdr:rowOff>46990</xdr:rowOff>
    </xdr:from>
    <xdr:to>
      <xdr:col>4</xdr:col>
      <xdr:colOff>2815590</xdr:colOff>
      <xdr:row>29</xdr:row>
      <xdr:rowOff>2473960</xdr:rowOff>
    </xdr:to>
    <xdr:pic>
      <xdr:nvPicPr>
        <xdr:cNvPr id="68" name="图片 6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70710425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30</xdr:row>
      <xdr:rowOff>41910</xdr:rowOff>
    </xdr:from>
    <xdr:to>
      <xdr:col>4</xdr:col>
      <xdr:colOff>2746375</xdr:colOff>
      <xdr:row>30</xdr:row>
      <xdr:rowOff>2474595</xdr:rowOff>
    </xdr:to>
    <xdr:pic>
      <xdr:nvPicPr>
        <xdr:cNvPr id="76" name="图片 75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73247250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34</xdr:row>
      <xdr:rowOff>46990</xdr:rowOff>
    </xdr:from>
    <xdr:to>
      <xdr:col>4</xdr:col>
      <xdr:colOff>2815590</xdr:colOff>
      <xdr:row>34</xdr:row>
      <xdr:rowOff>2473960</xdr:rowOff>
    </xdr:to>
    <xdr:pic>
      <xdr:nvPicPr>
        <xdr:cNvPr id="86" name="图片 85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83419950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36</xdr:row>
      <xdr:rowOff>41910</xdr:rowOff>
    </xdr:from>
    <xdr:to>
      <xdr:col>4</xdr:col>
      <xdr:colOff>2746375</xdr:colOff>
      <xdr:row>36</xdr:row>
      <xdr:rowOff>2474595</xdr:rowOff>
    </xdr:to>
    <xdr:pic>
      <xdr:nvPicPr>
        <xdr:cNvPr id="90" name="图片 89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88498680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1050290</xdr:colOff>
      <xdr:row>38</xdr:row>
      <xdr:rowOff>12065</xdr:rowOff>
    </xdr:from>
    <xdr:to>
      <xdr:col>4</xdr:col>
      <xdr:colOff>2447925</xdr:colOff>
      <xdr:row>38</xdr:row>
      <xdr:rowOff>2454910</xdr:rowOff>
    </xdr:to>
    <xdr:pic>
      <xdr:nvPicPr>
        <xdr:cNvPr id="91" name="图片 90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935526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38</xdr:row>
      <xdr:rowOff>12065</xdr:rowOff>
    </xdr:from>
    <xdr:to>
      <xdr:col>4</xdr:col>
      <xdr:colOff>2447925</xdr:colOff>
      <xdr:row>38</xdr:row>
      <xdr:rowOff>2454910</xdr:rowOff>
    </xdr:to>
    <xdr:pic>
      <xdr:nvPicPr>
        <xdr:cNvPr id="92" name="图片 91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935526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38</xdr:row>
      <xdr:rowOff>12065</xdr:rowOff>
    </xdr:from>
    <xdr:to>
      <xdr:col>4</xdr:col>
      <xdr:colOff>2447925</xdr:colOff>
      <xdr:row>38</xdr:row>
      <xdr:rowOff>2454910</xdr:rowOff>
    </xdr:to>
    <xdr:pic>
      <xdr:nvPicPr>
        <xdr:cNvPr id="93" name="图片 92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935526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38</xdr:row>
      <xdr:rowOff>12065</xdr:rowOff>
    </xdr:from>
    <xdr:to>
      <xdr:col>4</xdr:col>
      <xdr:colOff>2447925</xdr:colOff>
      <xdr:row>38</xdr:row>
      <xdr:rowOff>2454910</xdr:rowOff>
    </xdr:to>
    <xdr:pic>
      <xdr:nvPicPr>
        <xdr:cNvPr id="94" name="图片 93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935526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38</xdr:row>
      <xdr:rowOff>12065</xdr:rowOff>
    </xdr:from>
    <xdr:to>
      <xdr:col>4</xdr:col>
      <xdr:colOff>2447925</xdr:colOff>
      <xdr:row>38</xdr:row>
      <xdr:rowOff>2454910</xdr:rowOff>
    </xdr:to>
    <xdr:pic>
      <xdr:nvPicPr>
        <xdr:cNvPr id="95" name="图片 94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9355264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682625</xdr:colOff>
      <xdr:row>39</xdr:row>
      <xdr:rowOff>45720</xdr:rowOff>
    </xdr:from>
    <xdr:to>
      <xdr:col>4</xdr:col>
      <xdr:colOff>2815590</xdr:colOff>
      <xdr:row>39</xdr:row>
      <xdr:rowOff>2472690</xdr:rowOff>
    </xdr:to>
    <xdr:pic>
      <xdr:nvPicPr>
        <xdr:cNvPr id="96" name="图片 95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96128205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38</xdr:row>
      <xdr:rowOff>26670</xdr:rowOff>
    </xdr:from>
    <xdr:to>
      <xdr:col>4</xdr:col>
      <xdr:colOff>2815590</xdr:colOff>
      <xdr:row>38</xdr:row>
      <xdr:rowOff>2453640</xdr:rowOff>
    </xdr:to>
    <xdr:pic>
      <xdr:nvPicPr>
        <xdr:cNvPr id="97" name="图片 9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93567250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41</xdr:row>
      <xdr:rowOff>45720</xdr:rowOff>
    </xdr:from>
    <xdr:to>
      <xdr:col>4</xdr:col>
      <xdr:colOff>2815590</xdr:colOff>
      <xdr:row>41</xdr:row>
      <xdr:rowOff>2472690</xdr:rowOff>
    </xdr:to>
    <xdr:pic>
      <xdr:nvPicPr>
        <xdr:cNvPr id="98" name="图片 9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101212015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43</xdr:row>
      <xdr:rowOff>41910</xdr:rowOff>
    </xdr:from>
    <xdr:to>
      <xdr:col>4</xdr:col>
      <xdr:colOff>2746375</xdr:colOff>
      <xdr:row>43</xdr:row>
      <xdr:rowOff>2474595</xdr:rowOff>
    </xdr:to>
    <xdr:pic>
      <xdr:nvPicPr>
        <xdr:cNvPr id="102" name="图片 101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106292015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1050290</xdr:colOff>
      <xdr:row>45</xdr:row>
      <xdr:rowOff>12065</xdr:rowOff>
    </xdr:from>
    <xdr:to>
      <xdr:col>4</xdr:col>
      <xdr:colOff>2447925</xdr:colOff>
      <xdr:row>45</xdr:row>
      <xdr:rowOff>2454910</xdr:rowOff>
    </xdr:to>
    <xdr:pic>
      <xdr:nvPicPr>
        <xdr:cNvPr id="103" name="图片 102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111345980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45</xdr:row>
      <xdr:rowOff>12065</xdr:rowOff>
    </xdr:from>
    <xdr:to>
      <xdr:col>4</xdr:col>
      <xdr:colOff>2447925</xdr:colOff>
      <xdr:row>45</xdr:row>
      <xdr:rowOff>2454910</xdr:rowOff>
    </xdr:to>
    <xdr:pic>
      <xdr:nvPicPr>
        <xdr:cNvPr id="104" name="图片 103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111345980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45</xdr:row>
      <xdr:rowOff>12065</xdr:rowOff>
    </xdr:from>
    <xdr:to>
      <xdr:col>4</xdr:col>
      <xdr:colOff>2447925</xdr:colOff>
      <xdr:row>45</xdr:row>
      <xdr:rowOff>2454910</xdr:rowOff>
    </xdr:to>
    <xdr:pic>
      <xdr:nvPicPr>
        <xdr:cNvPr id="105" name="图片 104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111345980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45</xdr:row>
      <xdr:rowOff>12065</xdr:rowOff>
    </xdr:from>
    <xdr:to>
      <xdr:col>4</xdr:col>
      <xdr:colOff>2447925</xdr:colOff>
      <xdr:row>45</xdr:row>
      <xdr:rowOff>2454910</xdr:rowOff>
    </xdr:to>
    <xdr:pic>
      <xdr:nvPicPr>
        <xdr:cNvPr id="106" name="图片 105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111345980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1050290</xdr:colOff>
      <xdr:row>45</xdr:row>
      <xdr:rowOff>12065</xdr:rowOff>
    </xdr:from>
    <xdr:to>
      <xdr:col>4</xdr:col>
      <xdr:colOff>2447925</xdr:colOff>
      <xdr:row>45</xdr:row>
      <xdr:rowOff>2454910</xdr:rowOff>
    </xdr:to>
    <xdr:pic>
      <xdr:nvPicPr>
        <xdr:cNvPr id="107" name="图片 106" descr="jhk-1777226445406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596755" y="111345980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682625</xdr:colOff>
      <xdr:row>46</xdr:row>
      <xdr:rowOff>45720</xdr:rowOff>
    </xdr:from>
    <xdr:to>
      <xdr:col>4</xdr:col>
      <xdr:colOff>2815590</xdr:colOff>
      <xdr:row>46</xdr:row>
      <xdr:rowOff>2472690</xdr:rowOff>
    </xdr:to>
    <xdr:pic>
      <xdr:nvPicPr>
        <xdr:cNvPr id="108" name="图片 10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113921540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45</xdr:row>
      <xdr:rowOff>26670</xdr:rowOff>
    </xdr:from>
    <xdr:to>
      <xdr:col>4</xdr:col>
      <xdr:colOff>2815590</xdr:colOff>
      <xdr:row>45</xdr:row>
      <xdr:rowOff>2453640</xdr:rowOff>
    </xdr:to>
    <xdr:pic>
      <xdr:nvPicPr>
        <xdr:cNvPr id="109" name="图片 108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111360585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682625</xdr:colOff>
      <xdr:row>48</xdr:row>
      <xdr:rowOff>45720</xdr:rowOff>
    </xdr:from>
    <xdr:to>
      <xdr:col>4</xdr:col>
      <xdr:colOff>2815590</xdr:colOff>
      <xdr:row>48</xdr:row>
      <xdr:rowOff>2472690</xdr:rowOff>
    </xdr:to>
    <xdr:pic>
      <xdr:nvPicPr>
        <xdr:cNvPr id="110" name="图片 109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9229090" y="119005350"/>
          <a:ext cx="2132965" cy="2426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473075</xdr:colOff>
      <xdr:row>50</xdr:row>
      <xdr:rowOff>1828800</xdr:rowOff>
    </xdr:from>
    <xdr:to>
      <xdr:col>4</xdr:col>
      <xdr:colOff>3025775</xdr:colOff>
      <xdr:row>50</xdr:row>
      <xdr:rowOff>1828800</xdr:rowOff>
    </xdr:to>
    <xdr:pic>
      <xdr:nvPicPr>
        <xdr:cNvPr id="114" name="图片 6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23210" r="50121" b="49799"/>
        <a:stretch>
          <a:fillRect/>
        </a:stretch>
      </xdr:blipFill>
      <xdr:spPr>
        <a:xfrm>
          <a:off x="9019540" y="125872240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692150</xdr:colOff>
      <xdr:row>55</xdr:row>
      <xdr:rowOff>22860</xdr:rowOff>
    </xdr:from>
    <xdr:to>
      <xdr:col>4</xdr:col>
      <xdr:colOff>2806065</xdr:colOff>
      <xdr:row>55</xdr:row>
      <xdr:rowOff>2446655</xdr:rowOff>
    </xdr:to>
    <xdr:pic>
      <xdr:nvPicPr>
        <xdr:cNvPr id="205" name="图片 204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238615" y="136775825"/>
          <a:ext cx="2113915" cy="242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692150</xdr:colOff>
      <xdr:row>55</xdr:row>
      <xdr:rowOff>2527300</xdr:rowOff>
    </xdr:from>
    <xdr:to>
      <xdr:col>4</xdr:col>
      <xdr:colOff>2806065</xdr:colOff>
      <xdr:row>56</xdr:row>
      <xdr:rowOff>2409825</xdr:rowOff>
    </xdr:to>
    <xdr:pic>
      <xdr:nvPicPr>
        <xdr:cNvPr id="206" name="图片 20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238615" y="139280265"/>
          <a:ext cx="2113915" cy="2424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44</xdr:row>
      <xdr:rowOff>77470</xdr:rowOff>
    </xdr:from>
    <xdr:to>
      <xdr:col>4</xdr:col>
      <xdr:colOff>2746375</xdr:colOff>
      <xdr:row>44</xdr:row>
      <xdr:rowOff>2510155</xdr:rowOff>
    </xdr:to>
    <xdr:pic>
      <xdr:nvPicPr>
        <xdr:cNvPr id="2" name="图片 1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108869480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31</xdr:row>
      <xdr:rowOff>16510</xdr:rowOff>
    </xdr:from>
    <xdr:to>
      <xdr:col>4</xdr:col>
      <xdr:colOff>2746375</xdr:colOff>
      <xdr:row>31</xdr:row>
      <xdr:rowOff>2449195</xdr:rowOff>
    </xdr:to>
    <xdr:pic>
      <xdr:nvPicPr>
        <xdr:cNvPr id="30" name="图片 29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75763755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15</xdr:row>
      <xdr:rowOff>66040</xdr:rowOff>
    </xdr:from>
    <xdr:to>
      <xdr:col>4</xdr:col>
      <xdr:colOff>2746375</xdr:colOff>
      <xdr:row>15</xdr:row>
      <xdr:rowOff>2498725</xdr:rowOff>
    </xdr:to>
    <xdr:pic>
      <xdr:nvPicPr>
        <xdr:cNvPr id="47" name="图片 46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35142805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798195</xdr:colOff>
      <xdr:row>50</xdr:row>
      <xdr:rowOff>96520</xdr:rowOff>
    </xdr:from>
    <xdr:to>
      <xdr:col>4</xdr:col>
      <xdr:colOff>2700655</xdr:colOff>
      <xdr:row>50</xdr:row>
      <xdr:rowOff>2447925</xdr:rowOff>
    </xdr:to>
    <xdr:pic>
      <xdr:nvPicPr>
        <xdr:cNvPr id="220" name="图片 219" descr="jhk-1778609533653"/>
        <xdr:cNvPicPr>
          <a:picLocks noChangeAspect="1"/>
        </xdr:cNvPicPr>
      </xdr:nvPicPr>
      <xdr:blipFill>
        <a:blip r:embed="rId9" cstate="print"/>
        <a:srcRect l="267"/>
        <a:stretch>
          <a:fillRect/>
        </a:stretch>
      </xdr:blipFill>
      <xdr:spPr>
        <a:xfrm>
          <a:off x="9344660" y="124139960"/>
          <a:ext cx="1902460" cy="2351405"/>
        </a:xfrm>
        <a:prstGeom prst="rect">
          <a:avLst/>
        </a:prstGeom>
      </xdr:spPr>
    </xdr:pic>
    <xdr:clientData/>
  </xdr:twoCellAnchor>
  <xdr:twoCellAnchor editAs="oneCell">
    <xdr:from>
      <xdr:col>4</xdr:col>
      <xdr:colOff>692150</xdr:colOff>
      <xdr:row>52</xdr:row>
      <xdr:rowOff>35560</xdr:rowOff>
    </xdr:from>
    <xdr:to>
      <xdr:col>4</xdr:col>
      <xdr:colOff>2806065</xdr:colOff>
      <xdr:row>52</xdr:row>
      <xdr:rowOff>2459355</xdr:rowOff>
    </xdr:to>
    <xdr:pic>
      <xdr:nvPicPr>
        <xdr:cNvPr id="222" name="图片 22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9238615" y="129162810"/>
          <a:ext cx="2113915" cy="2423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427990</xdr:colOff>
      <xdr:row>23</xdr:row>
      <xdr:rowOff>103505</xdr:rowOff>
    </xdr:from>
    <xdr:to>
      <xdr:col>4</xdr:col>
      <xdr:colOff>3070225</xdr:colOff>
      <xdr:row>23</xdr:row>
      <xdr:rowOff>2496820</xdr:rowOff>
    </xdr:to>
    <xdr:pic>
      <xdr:nvPicPr>
        <xdr:cNvPr id="58" name="图片 57" descr="jhk-1777226400003"/>
        <xdr:cNvPicPr>
          <a:picLocks noChangeAspect="1"/>
        </xdr:cNvPicPr>
      </xdr:nvPicPr>
      <xdr:blipFill>
        <a:blip r:embed="rId7" cstate="print"/>
        <a:srcRect t="19419" b="20380"/>
        <a:stretch>
          <a:fillRect/>
        </a:stretch>
      </xdr:blipFill>
      <xdr:spPr>
        <a:xfrm>
          <a:off x="8974455" y="55515510"/>
          <a:ext cx="2642235" cy="239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427990</xdr:colOff>
      <xdr:row>26</xdr:row>
      <xdr:rowOff>103505</xdr:rowOff>
    </xdr:from>
    <xdr:to>
      <xdr:col>4</xdr:col>
      <xdr:colOff>3070225</xdr:colOff>
      <xdr:row>26</xdr:row>
      <xdr:rowOff>2496820</xdr:rowOff>
    </xdr:to>
    <xdr:pic>
      <xdr:nvPicPr>
        <xdr:cNvPr id="101" name="图片 100" descr="jhk-1777226400003"/>
        <xdr:cNvPicPr>
          <a:picLocks noChangeAspect="1"/>
        </xdr:cNvPicPr>
      </xdr:nvPicPr>
      <xdr:blipFill>
        <a:blip r:embed="rId7" cstate="print"/>
        <a:srcRect t="19419" b="20380"/>
        <a:stretch>
          <a:fillRect/>
        </a:stretch>
      </xdr:blipFill>
      <xdr:spPr>
        <a:xfrm>
          <a:off x="8974455" y="63141225"/>
          <a:ext cx="2642235" cy="239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427990</xdr:colOff>
      <xdr:row>27</xdr:row>
      <xdr:rowOff>103505</xdr:rowOff>
    </xdr:from>
    <xdr:to>
      <xdr:col>4</xdr:col>
      <xdr:colOff>3070225</xdr:colOff>
      <xdr:row>27</xdr:row>
      <xdr:rowOff>2496820</xdr:rowOff>
    </xdr:to>
    <xdr:pic>
      <xdr:nvPicPr>
        <xdr:cNvPr id="113" name="图片 112" descr="jhk-1777226400003"/>
        <xdr:cNvPicPr>
          <a:picLocks noChangeAspect="1"/>
        </xdr:cNvPicPr>
      </xdr:nvPicPr>
      <xdr:blipFill>
        <a:blip r:embed="rId7" cstate="print"/>
        <a:srcRect t="19419" b="20380"/>
        <a:stretch>
          <a:fillRect/>
        </a:stretch>
      </xdr:blipFill>
      <xdr:spPr>
        <a:xfrm>
          <a:off x="8974455" y="65683130"/>
          <a:ext cx="2642235" cy="2393315"/>
        </a:xfrm>
        <a:prstGeom prst="rect">
          <a:avLst/>
        </a:prstGeom>
      </xdr:spPr>
    </xdr:pic>
    <xdr:clientData/>
  </xdr:twoCellAnchor>
  <xdr:twoCellAnchor editAs="oneCell">
    <xdr:from>
      <xdr:col>4</xdr:col>
      <xdr:colOff>1091565</xdr:colOff>
      <xdr:row>2</xdr:row>
      <xdr:rowOff>53340</xdr:rowOff>
    </xdr:from>
    <xdr:to>
      <xdr:col>4</xdr:col>
      <xdr:colOff>2406650</xdr:colOff>
      <xdr:row>3</xdr:row>
      <xdr:rowOff>53340</xdr:rowOff>
    </xdr:to>
    <xdr:pic>
      <xdr:nvPicPr>
        <xdr:cNvPr id="3" name="图片 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208534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3</xdr:row>
      <xdr:rowOff>73025</xdr:rowOff>
    </xdr:from>
    <xdr:to>
      <xdr:col>4</xdr:col>
      <xdr:colOff>2406650</xdr:colOff>
      <xdr:row>4</xdr:row>
      <xdr:rowOff>73025</xdr:rowOff>
    </xdr:to>
    <xdr:pic>
      <xdr:nvPicPr>
        <xdr:cNvPr id="5" name="图片 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464693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4</xdr:row>
      <xdr:rowOff>73025</xdr:rowOff>
    </xdr:from>
    <xdr:to>
      <xdr:col>4</xdr:col>
      <xdr:colOff>2406650</xdr:colOff>
      <xdr:row>5</xdr:row>
      <xdr:rowOff>73025</xdr:rowOff>
    </xdr:to>
    <xdr:pic>
      <xdr:nvPicPr>
        <xdr:cNvPr id="6" name="图片 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718883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8</xdr:row>
      <xdr:rowOff>73025</xdr:rowOff>
    </xdr:from>
    <xdr:to>
      <xdr:col>4</xdr:col>
      <xdr:colOff>2406650</xdr:colOff>
      <xdr:row>9</xdr:row>
      <xdr:rowOff>73025</xdr:rowOff>
    </xdr:to>
    <xdr:pic>
      <xdr:nvPicPr>
        <xdr:cNvPr id="9" name="图片 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735645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9</xdr:row>
      <xdr:rowOff>73025</xdr:rowOff>
    </xdr:from>
    <xdr:to>
      <xdr:col>4</xdr:col>
      <xdr:colOff>2406650</xdr:colOff>
      <xdr:row>10</xdr:row>
      <xdr:rowOff>73025</xdr:rowOff>
    </xdr:to>
    <xdr:pic>
      <xdr:nvPicPr>
        <xdr:cNvPr id="10" name="图片 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989836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12</xdr:row>
      <xdr:rowOff>2480945</xdr:rowOff>
    </xdr:from>
    <xdr:to>
      <xdr:col>4</xdr:col>
      <xdr:colOff>2406650</xdr:colOff>
      <xdr:row>13</xdr:row>
      <xdr:rowOff>2480945</xdr:rowOff>
    </xdr:to>
    <xdr:pic>
      <xdr:nvPicPr>
        <xdr:cNvPr id="11" name="图片 1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2993199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13</xdr:row>
      <xdr:rowOff>2511425</xdr:rowOff>
    </xdr:from>
    <xdr:to>
      <xdr:col>4</xdr:col>
      <xdr:colOff>2406650</xdr:colOff>
      <xdr:row>14</xdr:row>
      <xdr:rowOff>2511425</xdr:rowOff>
    </xdr:to>
    <xdr:pic>
      <xdr:nvPicPr>
        <xdr:cNvPr id="12" name="图片 1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3250438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16</xdr:row>
      <xdr:rowOff>12065</xdr:rowOff>
    </xdr:from>
    <xdr:to>
      <xdr:col>4</xdr:col>
      <xdr:colOff>2406650</xdr:colOff>
      <xdr:row>17</xdr:row>
      <xdr:rowOff>12065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3763073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27</xdr:row>
      <xdr:rowOff>2480945</xdr:rowOff>
    </xdr:from>
    <xdr:to>
      <xdr:col>4</xdr:col>
      <xdr:colOff>2406650</xdr:colOff>
      <xdr:row>28</xdr:row>
      <xdr:rowOff>2480945</xdr:rowOff>
    </xdr:to>
    <xdr:pic>
      <xdr:nvPicPr>
        <xdr:cNvPr id="14" name="图片 1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6806057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32</xdr:row>
      <xdr:rowOff>2511425</xdr:rowOff>
    </xdr:from>
    <xdr:to>
      <xdr:col>4</xdr:col>
      <xdr:colOff>2406650</xdr:colOff>
      <xdr:row>33</xdr:row>
      <xdr:rowOff>2511425</xdr:rowOff>
    </xdr:to>
    <xdr:pic>
      <xdr:nvPicPr>
        <xdr:cNvPr id="15" name="图片 1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8080057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35</xdr:row>
      <xdr:rowOff>42545</xdr:rowOff>
    </xdr:from>
    <xdr:to>
      <xdr:col>4</xdr:col>
      <xdr:colOff>2406650</xdr:colOff>
      <xdr:row>36</xdr:row>
      <xdr:rowOff>42545</xdr:rowOff>
    </xdr:to>
    <xdr:pic>
      <xdr:nvPicPr>
        <xdr:cNvPr id="16" name="图片 1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8595741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39</xdr:row>
      <xdr:rowOff>2511425</xdr:rowOff>
    </xdr:from>
    <xdr:to>
      <xdr:col>4</xdr:col>
      <xdr:colOff>2406650</xdr:colOff>
      <xdr:row>40</xdr:row>
      <xdr:rowOff>2511425</xdr:rowOff>
    </xdr:to>
    <xdr:pic>
      <xdr:nvPicPr>
        <xdr:cNvPr id="18" name="图片 1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9859391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42</xdr:row>
      <xdr:rowOff>12065</xdr:rowOff>
    </xdr:from>
    <xdr:to>
      <xdr:col>4</xdr:col>
      <xdr:colOff>2406650</xdr:colOff>
      <xdr:row>43</xdr:row>
      <xdr:rowOff>12065</xdr:rowOff>
    </xdr:to>
    <xdr:pic>
      <xdr:nvPicPr>
        <xdr:cNvPr id="19" name="图片 1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0372026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46</xdr:row>
      <xdr:rowOff>2511425</xdr:rowOff>
    </xdr:from>
    <xdr:to>
      <xdr:col>4</xdr:col>
      <xdr:colOff>2406650</xdr:colOff>
      <xdr:row>47</xdr:row>
      <xdr:rowOff>2511425</xdr:rowOff>
    </xdr:to>
    <xdr:pic>
      <xdr:nvPicPr>
        <xdr:cNvPr id="20" name="图片 1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1638724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49</xdr:row>
      <xdr:rowOff>42545</xdr:rowOff>
    </xdr:from>
    <xdr:to>
      <xdr:col>4</xdr:col>
      <xdr:colOff>2406650</xdr:colOff>
      <xdr:row>50</xdr:row>
      <xdr:rowOff>42545</xdr:rowOff>
    </xdr:to>
    <xdr:pic>
      <xdr:nvPicPr>
        <xdr:cNvPr id="21" name="图片 2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2154408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51</xdr:row>
      <xdr:rowOff>0</xdr:rowOff>
    </xdr:from>
    <xdr:to>
      <xdr:col>4</xdr:col>
      <xdr:colOff>2406650</xdr:colOff>
      <xdr:row>52</xdr:row>
      <xdr:rowOff>0</xdr:rowOff>
    </xdr:to>
    <xdr:pic>
      <xdr:nvPicPr>
        <xdr:cNvPr id="22" name="图片 2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26585345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53</xdr:row>
      <xdr:rowOff>12065</xdr:rowOff>
    </xdr:from>
    <xdr:to>
      <xdr:col>4</xdr:col>
      <xdr:colOff>2406650</xdr:colOff>
      <xdr:row>54</xdr:row>
      <xdr:rowOff>12065</xdr:rowOff>
    </xdr:to>
    <xdr:pic>
      <xdr:nvPicPr>
        <xdr:cNvPr id="23" name="图片 2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3168122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53</xdr:row>
      <xdr:rowOff>2455545</xdr:rowOff>
    </xdr:from>
    <xdr:to>
      <xdr:col>4</xdr:col>
      <xdr:colOff>2406650</xdr:colOff>
      <xdr:row>54</xdr:row>
      <xdr:rowOff>2455545</xdr:rowOff>
    </xdr:to>
    <xdr:pic>
      <xdr:nvPicPr>
        <xdr:cNvPr id="24" name="图片 2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13412470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1091565</xdr:colOff>
      <xdr:row>31</xdr:row>
      <xdr:rowOff>2534285</xdr:rowOff>
    </xdr:from>
    <xdr:to>
      <xdr:col>4</xdr:col>
      <xdr:colOff>2406650</xdr:colOff>
      <xdr:row>32</xdr:row>
      <xdr:rowOff>2534285</xdr:rowOff>
    </xdr:to>
    <xdr:pic>
      <xdr:nvPicPr>
        <xdr:cNvPr id="7" name="图片 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638030" y="78281530"/>
          <a:ext cx="1315085" cy="254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24</xdr:row>
      <xdr:rowOff>12065</xdr:rowOff>
    </xdr:from>
    <xdr:to>
      <xdr:col>4</xdr:col>
      <xdr:colOff>2746375</xdr:colOff>
      <xdr:row>24</xdr:row>
      <xdr:rowOff>2444750</xdr:rowOff>
    </xdr:to>
    <xdr:pic>
      <xdr:nvPicPr>
        <xdr:cNvPr id="4" name="图片 3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57965975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24</xdr:row>
      <xdr:rowOff>2516505</xdr:rowOff>
    </xdr:from>
    <xdr:to>
      <xdr:col>4</xdr:col>
      <xdr:colOff>2746375</xdr:colOff>
      <xdr:row>25</xdr:row>
      <xdr:rowOff>2407285</xdr:rowOff>
    </xdr:to>
    <xdr:pic>
      <xdr:nvPicPr>
        <xdr:cNvPr id="8" name="图片 7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60470415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751840</xdr:colOff>
      <xdr:row>36</xdr:row>
      <xdr:rowOff>2515870</xdr:rowOff>
    </xdr:from>
    <xdr:to>
      <xdr:col>4</xdr:col>
      <xdr:colOff>2746375</xdr:colOff>
      <xdr:row>37</xdr:row>
      <xdr:rowOff>2406650</xdr:rowOff>
    </xdr:to>
    <xdr:pic>
      <xdr:nvPicPr>
        <xdr:cNvPr id="25" name="图片 24"/>
        <xdr:cNvPicPr>
          <a:picLocks noChangeAspect="1"/>
        </xdr:cNvPicPr>
      </xdr:nvPicPr>
      <xdr:blipFill>
        <a:blip r:embed="rId5" cstate="print">
          <a:lum bright="6000"/>
        </a:blip>
        <a:stretch>
          <a:fillRect/>
        </a:stretch>
      </xdr:blipFill>
      <xdr:spPr>
        <a:xfrm>
          <a:off x="9298305" y="90972640"/>
          <a:ext cx="1994535" cy="24326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1219200</xdr:colOff>
      <xdr:row>1</xdr:row>
      <xdr:rowOff>1299845</xdr:rowOff>
    </xdr:from>
    <xdr:to>
      <xdr:col>4</xdr:col>
      <xdr:colOff>2616835</xdr:colOff>
      <xdr:row>2</xdr:row>
      <xdr:rowOff>2485390</xdr:rowOff>
    </xdr:to>
    <xdr:pic>
      <xdr:nvPicPr>
        <xdr:cNvPr id="2" name="图片 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32000"/>
          <a:ext cx="1397635" cy="248539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2</xdr:row>
      <xdr:rowOff>0</xdr:rowOff>
    </xdr:from>
    <xdr:to>
      <xdr:col>4</xdr:col>
      <xdr:colOff>2616835</xdr:colOff>
      <xdr:row>2</xdr:row>
      <xdr:rowOff>2507615</xdr:rowOff>
    </xdr:to>
    <xdr:pic>
      <xdr:nvPicPr>
        <xdr:cNvPr id="3" name="图片 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32000"/>
          <a:ext cx="1397635" cy="250761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2</xdr:row>
      <xdr:rowOff>0</xdr:rowOff>
    </xdr:from>
    <xdr:to>
      <xdr:col>4</xdr:col>
      <xdr:colOff>2616835</xdr:colOff>
      <xdr:row>2</xdr:row>
      <xdr:rowOff>2458085</xdr:rowOff>
    </xdr:to>
    <xdr:pic>
      <xdr:nvPicPr>
        <xdr:cNvPr id="4" name="图片 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32000"/>
          <a:ext cx="1397635" cy="245808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2</xdr:row>
      <xdr:rowOff>0</xdr:rowOff>
    </xdr:from>
    <xdr:to>
      <xdr:col>4</xdr:col>
      <xdr:colOff>2616835</xdr:colOff>
      <xdr:row>2</xdr:row>
      <xdr:rowOff>2519045</xdr:rowOff>
    </xdr:to>
    <xdr:pic>
      <xdr:nvPicPr>
        <xdr:cNvPr id="5" name="图片 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32000"/>
          <a:ext cx="1397635" cy="25190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2</xdr:row>
      <xdr:rowOff>0</xdr:rowOff>
    </xdr:from>
    <xdr:to>
      <xdr:col>4</xdr:col>
      <xdr:colOff>2616835</xdr:colOff>
      <xdr:row>2</xdr:row>
      <xdr:rowOff>2531110</xdr:rowOff>
    </xdr:to>
    <xdr:pic>
      <xdr:nvPicPr>
        <xdr:cNvPr id="8" name="图片 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32000"/>
          <a:ext cx="1397635" cy="253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2</xdr:row>
      <xdr:rowOff>0</xdr:rowOff>
    </xdr:from>
    <xdr:to>
      <xdr:col>4</xdr:col>
      <xdr:colOff>2616835</xdr:colOff>
      <xdr:row>2</xdr:row>
      <xdr:rowOff>2442845</xdr:rowOff>
    </xdr:to>
    <xdr:pic>
      <xdr:nvPicPr>
        <xdr:cNvPr id="9" name="图片 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32000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2</xdr:row>
      <xdr:rowOff>45720</xdr:rowOff>
    </xdr:from>
    <xdr:to>
      <xdr:col>4</xdr:col>
      <xdr:colOff>2616835</xdr:colOff>
      <xdr:row>3</xdr:row>
      <xdr:rowOff>30480</xdr:rowOff>
    </xdr:to>
    <xdr:pic>
      <xdr:nvPicPr>
        <xdr:cNvPr id="10" name="图片 9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2077720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2501265</xdr:rowOff>
    </xdr:to>
    <xdr:pic>
      <xdr:nvPicPr>
        <xdr:cNvPr id="11" name="图片 1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12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12" name="图片 1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13" name="图片 1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2507615</xdr:rowOff>
    </xdr:to>
    <xdr:pic>
      <xdr:nvPicPr>
        <xdr:cNvPr id="14" name="图片 1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761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15" name="图片 1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2501265</xdr:rowOff>
    </xdr:to>
    <xdr:pic>
      <xdr:nvPicPr>
        <xdr:cNvPr id="16" name="图片 15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12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2494915</xdr:rowOff>
    </xdr:to>
    <xdr:pic>
      <xdr:nvPicPr>
        <xdr:cNvPr id="17" name="图片 16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9491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2507615</xdr:rowOff>
    </xdr:to>
    <xdr:pic>
      <xdr:nvPicPr>
        <xdr:cNvPr id="18" name="图片 1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761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2501265</xdr:rowOff>
    </xdr:to>
    <xdr:pic>
      <xdr:nvPicPr>
        <xdr:cNvPr id="19" name="图片 1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12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20" name="图片 19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21" name="图片 2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22" name="图片 2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2507615</xdr:rowOff>
    </xdr:to>
    <xdr:pic>
      <xdr:nvPicPr>
        <xdr:cNvPr id="23" name="图片 2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761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24" name="图片 2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2501265</xdr:rowOff>
    </xdr:to>
    <xdr:pic>
      <xdr:nvPicPr>
        <xdr:cNvPr id="25" name="图片 2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012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2484755</xdr:rowOff>
    </xdr:to>
    <xdr:pic>
      <xdr:nvPicPr>
        <xdr:cNvPr id="27" name="图片 26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475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9525</xdr:rowOff>
    </xdr:to>
    <xdr:pic>
      <xdr:nvPicPr>
        <xdr:cNvPr id="34" name="图片 3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5143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2454275</xdr:rowOff>
    </xdr:to>
    <xdr:pic>
      <xdr:nvPicPr>
        <xdr:cNvPr id="35" name="图片 3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5427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43" name="图片 4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44" name="图片 4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45" name="图片 4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46" name="图片 45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47" name="图片 46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2515235</xdr:rowOff>
    </xdr:to>
    <xdr:pic>
      <xdr:nvPicPr>
        <xdr:cNvPr id="61" name="图片 6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1523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2520315</xdr:rowOff>
    </xdr:to>
    <xdr:pic>
      <xdr:nvPicPr>
        <xdr:cNvPr id="62" name="图片 6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031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63" name="图片 6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2519045</xdr:rowOff>
    </xdr:to>
    <xdr:pic>
      <xdr:nvPicPr>
        <xdr:cNvPr id="64" name="图片 6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190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68" name="图片 6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69" name="图片 6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0" name="图片 69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1" name="图片 7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2" name="图片 7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3" name="图片 7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4" name="图片 7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5" name="图片 7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81" name="图片 8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82" name="图片 8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83" name="图片 8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84" name="图片 8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85" name="图片 8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92" name="图片 9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93" name="图片 9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94" name="图片 9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95" name="图片 9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2442845</xdr:rowOff>
    </xdr:to>
    <xdr:pic>
      <xdr:nvPicPr>
        <xdr:cNvPr id="96" name="图片 95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428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2313940</xdr:colOff>
      <xdr:row>3</xdr:row>
      <xdr:rowOff>2522220</xdr:rowOff>
    </xdr:to>
    <xdr:pic>
      <xdr:nvPicPr>
        <xdr:cNvPr id="110" name="图片 109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8973820" y="4573905"/>
          <a:ext cx="1094740" cy="252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9525</xdr:rowOff>
    </xdr:to>
    <xdr:pic>
      <xdr:nvPicPr>
        <xdr:cNvPr id="213" name="图片 21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5143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9525</xdr:rowOff>
    </xdr:to>
    <xdr:pic>
      <xdr:nvPicPr>
        <xdr:cNvPr id="214" name="图片 213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5143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7" name="图片 6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26" name="图片 25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31" name="图片 3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32" name="图片 3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33" name="图片 32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38" name="图片 3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39" name="图片 3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2488565</xdr:rowOff>
    </xdr:to>
    <xdr:pic>
      <xdr:nvPicPr>
        <xdr:cNvPr id="40" name="图片 39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4885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41" name="图片 4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42" name="图片 4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51" name="图片 5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52" name="图片 51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65" name="图片 64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66" name="图片 65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8" name="图片 7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79" name="图片 7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4</xdr:row>
      <xdr:rowOff>4445</xdr:rowOff>
    </xdr:to>
    <xdr:pic>
      <xdr:nvPicPr>
        <xdr:cNvPr id="86" name="图片 85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46350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87" name="图片 86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88" name="图片 8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89" name="图片 8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90" name="图片 89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91" name="图片 90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97" name="图片 96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98" name="图片 97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1219200</xdr:colOff>
      <xdr:row>3</xdr:row>
      <xdr:rowOff>0</xdr:rowOff>
    </xdr:from>
    <xdr:to>
      <xdr:col>4</xdr:col>
      <xdr:colOff>2616835</xdr:colOff>
      <xdr:row>3</xdr:row>
      <xdr:rowOff>2526665</xdr:rowOff>
    </xdr:to>
    <xdr:pic>
      <xdr:nvPicPr>
        <xdr:cNvPr id="99" name="图片 98" descr="jhk-177722644540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8973820" y="4573905"/>
          <a:ext cx="1397635" cy="25266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622935</xdr:colOff>
      <xdr:row>2</xdr:row>
      <xdr:rowOff>1828800</xdr:rowOff>
    </xdr:from>
    <xdr:to>
      <xdr:col>4</xdr:col>
      <xdr:colOff>3175635</xdr:colOff>
      <xdr:row>2</xdr:row>
      <xdr:rowOff>1828800</xdr:rowOff>
    </xdr:to>
    <xdr:pic>
      <xdr:nvPicPr>
        <xdr:cNvPr id="2" name="图片 6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 t="23210" r="50121" b="49799"/>
        <a:stretch>
          <a:fillRect/>
        </a:stretch>
      </xdr:blipFill>
      <xdr:spPr>
        <a:xfrm>
          <a:off x="9830435" y="3860800"/>
          <a:ext cx="2552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1032510</xdr:colOff>
      <xdr:row>2</xdr:row>
      <xdr:rowOff>152400</xdr:rowOff>
    </xdr:from>
    <xdr:to>
      <xdr:col>4</xdr:col>
      <xdr:colOff>2766060</xdr:colOff>
      <xdr:row>2</xdr:row>
      <xdr:rowOff>2392680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1844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</xdr:row>
      <xdr:rowOff>198120</xdr:rowOff>
    </xdr:from>
    <xdr:to>
      <xdr:col>4</xdr:col>
      <xdr:colOff>2766060</xdr:colOff>
      <xdr:row>3</xdr:row>
      <xdr:rowOff>2438400</xdr:rowOff>
    </xdr:to>
    <xdr:pic>
      <xdr:nvPicPr>
        <xdr:cNvPr id="4" name="图片 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7720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</xdr:row>
      <xdr:rowOff>115570</xdr:rowOff>
    </xdr:from>
    <xdr:to>
      <xdr:col>4</xdr:col>
      <xdr:colOff>2766060</xdr:colOff>
      <xdr:row>4</xdr:row>
      <xdr:rowOff>2355850</xdr:rowOff>
    </xdr:to>
    <xdr:pic>
      <xdr:nvPicPr>
        <xdr:cNvPr id="5" name="图片 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2313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</xdr:row>
      <xdr:rowOff>90170</xdr:rowOff>
    </xdr:from>
    <xdr:to>
      <xdr:col>4</xdr:col>
      <xdr:colOff>2766060</xdr:colOff>
      <xdr:row>5</xdr:row>
      <xdr:rowOff>2330450</xdr:rowOff>
    </xdr:to>
    <xdr:pic>
      <xdr:nvPicPr>
        <xdr:cNvPr id="6" name="图片 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747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</xdr:row>
      <xdr:rowOff>179070</xdr:rowOff>
    </xdr:from>
    <xdr:to>
      <xdr:col>4</xdr:col>
      <xdr:colOff>2766060</xdr:colOff>
      <xdr:row>6</xdr:row>
      <xdr:rowOff>2419350</xdr:rowOff>
    </xdr:to>
    <xdr:pic>
      <xdr:nvPicPr>
        <xdr:cNvPr id="7" name="图片 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23786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</xdr:row>
      <xdr:rowOff>172720</xdr:rowOff>
    </xdr:from>
    <xdr:to>
      <xdr:col>4</xdr:col>
      <xdr:colOff>2766060</xdr:colOff>
      <xdr:row>7</xdr:row>
      <xdr:rowOff>2413000</xdr:rowOff>
    </xdr:to>
    <xdr:pic>
      <xdr:nvPicPr>
        <xdr:cNvPr id="8" name="图片 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49142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</xdr:row>
      <xdr:rowOff>185420</xdr:rowOff>
    </xdr:from>
    <xdr:to>
      <xdr:col>4</xdr:col>
      <xdr:colOff>2766060</xdr:colOff>
      <xdr:row>8</xdr:row>
      <xdr:rowOff>2425700</xdr:rowOff>
    </xdr:to>
    <xdr:pic>
      <xdr:nvPicPr>
        <xdr:cNvPr id="9" name="图片 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74688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</xdr:row>
      <xdr:rowOff>198120</xdr:rowOff>
    </xdr:from>
    <xdr:to>
      <xdr:col>4</xdr:col>
      <xdr:colOff>2766060</xdr:colOff>
      <xdr:row>9</xdr:row>
      <xdr:rowOff>2438400</xdr:rowOff>
    </xdr:to>
    <xdr:pic>
      <xdr:nvPicPr>
        <xdr:cNvPr id="10" name="图片 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00234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</xdr:row>
      <xdr:rowOff>83820</xdr:rowOff>
    </xdr:from>
    <xdr:to>
      <xdr:col>4</xdr:col>
      <xdr:colOff>2766060</xdr:colOff>
      <xdr:row>10</xdr:row>
      <xdr:rowOff>2324100</xdr:rowOff>
    </xdr:to>
    <xdr:pic>
      <xdr:nvPicPr>
        <xdr:cNvPr id="11" name="图片 1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24510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</xdr:row>
      <xdr:rowOff>115570</xdr:rowOff>
    </xdr:from>
    <xdr:to>
      <xdr:col>4</xdr:col>
      <xdr:colOff>2766060</xdr:colOff>
      <xdr:row>11</xdr:row>
      <xdr:rowOff>2355850</xdr:rowOff>
    </xdr:to>
    <xdr:pic>
      <xdr:nvPicPr>
        <xdr:cNvPr id="12" name="图片 1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50247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</xdr:row>
      <xdr:rowOff>45720</xdr:rowOff>
    </xdr:from>
    <xdr:to>
      <xdr:col>4</xdr:col>
      <xdr:colOff>2766060</xdr:colOff>
      <xdr:row>12</xdr:row>
      <xdr:rowOff>2286000</xdr:rowOff>
    </xdr:to>
    <xdr:pic>
      <xdr:nvPicPr>
        <xdr:cNvPr id="13" name="图片 1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74967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</xdr:row>
      <xdr:rowOff>160020</xdr:rowOff>
    </xdr:from>
    <xdr:to>
      <xdr:col>4</xdr:col>
      <xdr:colOff>2766060</xdr:colOff>
      <xdr:row>13</xdr:row>
      <xdr:rowOff>2400300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01529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</xdr:row>
      <xdr:rowOff>191770</xdr:rowOff>
    </xdr:from>
    <xdr:to>
      <xdr:col>4</xdr:col>
      <xdr:colOff>2766060</xdr:colOff>
      <xdr:row>14</xdr:row>
      <xdr:rowOff>2432050</xdr:rowOff>
    </xdr:to>
    <xdr:pic>
      <xdr:nvPicPr>
        <xdr:cNvPr id="15" name="图片 1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27266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</xdr:row>
      <xdr:rowOff>76200</xdr:rowOff>
    </xdr:from>
    <xdr:to>
      <xdr:col>4</xdr:col>
      <xdr:colOff>2766060</xdr:colOff>
      <xdr:row>15</xdr:row>
      <xdr:rowOff>2316480</xdr:rowOff>
    </xdr:to>
    <xdr:pic>
      <xdr:nvPicPr>
        <xdr:cNvPr id="17" name="图片 1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51529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</xdr:row>
      <xdr:rowOff>50800</xdr:rowOff>
    </xdr:from>
    <xdr:to>
      <xdr:col>4</xdr:col>
      <xdr:colOff>2766060</xdr:colOff>
      <xdr:row>16</xdr:row>
      <xdr:rowOff>2291080</xdr:rowOff>
    </xdr:to>
    <xdr:pic>
      <xdr:nvPicPr>
        <xdr:cNvPr id="18" name="图片 1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76694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</xdr:row>
      <xdr:rowOff>121920</xdr:rowOff>
    </xdr:from>
    <xdr:to>
      <xdr:col>4</xdr:col>
      <xdr:colOff>2766060</xdr:colOff>
      <xdr:row>17</xdr:row>
      <xdr:rowOff>2362200</xdr:rowOff>
    </xdr:to>
    <xdr:pic>
      <xdr:nvPicPr>
        <xdr:cNvPr id="19" name="图片 1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02824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</xdr:row>
      <xdr:rowOff>96520</xdr:rowOff>
    </xdr:from>
    <xdr:to>
      <xdr:col>4</xdr:col>
      <xdr:colOff>2766060</xdr:colOff>
      <xdr:row>18</xdr:row>
      <xdr:rowOff>2336800</xdr:rowOff>
    </xdr:to>
    <xdr:pic>
      <xdr:nvPicPr>
        <xdr:cNvPr id="20" name="图片 1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27990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</xdr:row>
      <xdr:rowOff>102870</xdr:rowOff>
    </xdr:from>
    <xdr:to>
      <xdr:col>4</xdr:col>
      <xdr:colOff>2766060</xdr:colOff>
      <xdr:row>19</xdr:row>
      <xdr:rowOff>2343150</xdr:rowOff>
    </xdr:to>
    <xdr:pic>
      <xdr:nvPicPr>
        <xdr:cNvPr id="21" name="图片 2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53472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</xdr:row>
      <xdr:rowOff>121920</xdr:rowOff>
    </xdr:from>
    <xdr:to>
      <xdr:col>4</xdr:col>
      <xdr:colOff>2766060</xdr:colOff>
      <xdr:row>20</xdr:row>
      <xdr:rowOff>2362200</xdr:rowOff>
    </xdr:to>
    <xdr:pic>
      <xdr:nvPicPr>
        <xdr:cNvPr id="22" name="图片 2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79082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</xdr:row>
      <xdr:rowOff>64770</xdr:rowOff>
    </xdr:from>
    <xdr:to>
      <xdr:col>4</xdr:col>
      <xdr:colOff>2766060</xdr:colOff>
      <xdr:row>21</xdr:row>
      <xdr:rowOff>2305050</xdr:rowOff>
    </xdr:to>
    <xdr:pic>
      <xdr:nvPicPr>
        <xdr:cNvPr id="23" name="图片 2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03929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</xdr:row>
      <xdr:rowOff>179070</xdr:rowOff>
    </xdr:from>
    <xdr:to>
      <xdr:col>4</xdr:col>
      <xdr:colOff>2766060</xdr:colOff>
      <xdr:row>22</xdr:row>
      <xdr:rowOff>2419350</xdr:rowOff>
    </xdr:to>
    <xdr:pic>
      <xdr:nvPicPr>
        <xdr:cNvPr id="24" name="图片 2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30491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</xdr:row>
      <xdr:rowOff>172720</xdr:rowOff>
    </xdr:from>
    <xdr:to>
      <xdr:col>4</xdr:col>
      <xdr:colOff>2766060</xdr:colOff>
      <xdr:row>23</xdr:row>
      <xdr:rowOff>2413000</xdr:rowOff>
    </xdr:to>
    <xdr:pic>
      <xdr:nvPicPr>
        <xdr:cNvPr id="25" name="图片 2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55847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</xdr:row>
      <xdr:rowOff>109220</xdr:rowOff>
    </xdr:from>
    <xdr:to>
      <xdr:col>4</xdr:col>
      <xdr:colOff>2766060</xdr:colOff>
      <xdr:row>24</xdr:row>
      <xdr:rowOff>2349500</xdr:rowOff>
    </xdr:to>
    <xdr:pic>
      <xdr:nvPicPr>
        <xdr:cNvPr id="26" name="图片 2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80631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</xdr:row>
      <xdr:rowOff>140970</xdr:rowOff>
    </xdr:from>
    <xdr:to>
      <xdr:col>4</xdr:col>
      <xdr:colOff>2766060</xdr:colOff>
      <xdr:row>25</xdr:row>
      <xdr:rowOff>2381250</xdr:rowOff>
    </xdr:to>
    <xdr:pic>
      <xdr:nvPicPr>
        <xdr:cNvPr id="27" name="图片 2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06367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</xdr:row>
      <xdr:rowOff>121920</xdr:rowOff>
    </xdr:from>
    <xdr:to>
      <xdr:col>4</xdr:col>
      <xdr:colOff>2766060</xdr:colOff>
      <xdr:row>26</xdr:row>
      <xdr:rowOff>2362200</xdr:rowOff>
    </xdr:to>
    <xdr:pic>
      <xdr:nvPicPr>
        <xdr:cNvPr id="28" name="图片 2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31596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</xdr:row>
      <xdr:rowOff>83820</xdr:rowOff>
    </xdr:from>
    <xdr:to>
      <xdr:col>4</xdr:col>
      <xdr:colOff>2766060</xdr:colOff>
      <xdr:row>27</xdr:row>
      <xdr:rowOff>2324100</xdr:rowOff>
    </xdr:to>
    <xdr:pic>
      <xdr:nvPicPr>
        <xdr:cNvPr id="29" name="图片 2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56634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</xdr:row>
      <xdr:rowOff>64770</xdr:rowOff>
    </xdr:from>
    <xdr:to>
      <xdr:col>4</xdr:col>
      <xdr:colOff>2766060</xdr:colOff>
      <xdr:row>28</xdr:row>
      <xdr:rowOff>2305050</xdr:rowOff>
    </xdr:to>
    <xdr:pic>
      <xdr:nvPicPr>
        <xdr:cNvPr id="30" name="图片 2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81863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</xdr:row>
      <xdr:rowOff>160020</xdr:rowOff>
    </xdr:from>
    <xdr:to>
      <xdr:col>4</xdr:col>
      <xdr:colOff>2766060</xdr:colOff>
      <xdr:row>29</xdr:row>
      <xdr:rowOff>2400300</xdr:rowOff>
    </xdr:to>
    <xdr:pic>
      <xdr:nvPicPr>
        <xdr:cNvPr id="31" name="图片 3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08234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</xdr:row>
      <xdr:rowOff>83820</xdr:rowOff>
    </xdr:from>
    <xdr:to>
      <xdr:col>4</xdr:col>
      <xdr:colOff>2766060</xdr:colOff>
      <xdr:row>30</xdr:row>
      <xdr:rowOff>2324100</xdr:rowOff>
    </xdr:to>
    <xdr:pic>
      <xdr:nvPicPr>
        <xdr:cNvPr id="32" name="图片 3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32891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</xdr:row>
      <xdr:rowOff>115570</xdr:rowOff>
    </xdr:from>
    <xdr:to>
      <xdr:col>4</xdr:col>
      <xdr:colOff>2766060</xdr:colOff>
      <xdr:row>31</xdr:row>
      <xdr:rowOff>2355850</xdr:rowOff>
    </xdr:to>
    <xdr:pic>
      <xdr:nvPicPr>
        <xdr:cNvPr id="33" name="图片 3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58628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</xdr:row>
      <xdr:rowOff>147320</xdr:rowOff>
    </xdr:from>
    <xdr:to>
      <xdr:col>4</xdr:col>
      <xdr:colOff>2766060</xdr:colOff>
      <xdr:row>32</xdr:row>
      <xdr:rowOff>2387600</xdr:rowOff>
    </xdr:to>
    <xdr:pic>
      <xdr:nvPicPr>
        <xdr:cNvPr id="34" name="图片 3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84364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</xdr:row>
      <xdr:rowOff>102870</xdr:rowOff>
    </xdr:from>
    <xdr:to>
      <xdr:col>4</xdr:col>
      <xdr:colOff>2766060</xdr:colOff>
      <xdr:row>33</xdr:row>
      <xdr:rowOff>2343150</xdr:rowOff>
    </xdr:to>
    <xdr:pic>
      <xdr:nvPicPr>
        <xdr:cNvPr id="35" name="图片 3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09339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</xdr:row>
      <xdr:rowOff>96520</xdr:rowOff>
    </xdr:from>
    <xdr:to>
      <xdr:col>4</xdr:col>
      <xdr:colOff>2766060</xdr:colOff>
      <xdr:row>34</xdr:row>
      <xdr:rowOff>2336800</xdr:rowOff>
    </xdr:to>
    <xdr:pic>
      <xdr:nvPicPr>
        <xdr:cNvPr id="36" name="图片 3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34694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</xdr:row>
      <xdr:rowOff>90170</xdr:rowOff>
    </xdr:from>
    <xdr:to>
      <xdr:col>4</xdr:col>
      <xdr:colOff>2766060</xdr:colOff>
      <xdr:row>35</xdr:row>
      <xdr:rowOff>2330450</xdr:rowOff>
    </xdr:to>
    <xdr:pic>
      <xdr:nvPicPr>
        <xdr:cNvPr id="37" name="图片 3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60050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</xdr:row>
      <xdr:rowOff>140970</xdr:rowOff>
    </xdr:from>
    <xdr:to>
      <xdr:col>4</xdr:col>
      <xdr:colOff>2766060</xdr:colOff>
      <xdr:row>36</xdr:row>
      <xdr:rowOff>2381250</xdr:rowOff>
    </xdr:to>
    <xdr:pic>
      <xdr:nvPicPr>
        <xdr:cNvPr id="38" name="图片 3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85977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</xdr:row>
      <xdr:rowOff>19050</xdr:rowOff>
    </xdr:from>
    <xdr:to>
      <xdr:col>4</xdr:col>
      <xdr:colOff>2766060</xdr:colOff>
      <xdr:row>37</xdr:row>
      <xdr:rowOff>2259330</xdr:rowOff>
    </xdr:to>
    <xdr:pic>
      <xdr:nvPicPr>
        <xdr:cNvPr id="40" name="图片 3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10177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</xdr:row>
      <xdr:rowOff>12065</xdr:rowOff>
    </xdr:from>
    <xdr:to>
      <xdr:col>4</xdr:col>
      <xdr:colOff>2766060</xdr:colOff>
      <xdr:row>38</xdr:row>
      <xdr:rowOff>2252345</xdr:rowOff>
    </xdr:to>
    <xdr:pic>
      <xdr:nvPicPr>
        <xdr:cNvPr id="41" name="图片 4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35526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</xdr:row>
      <xdr:rowOff>64770</xdr:rowOff>
    </xdr:from>
    <xdr:to>
      <xdr:col>4</xdr:col>
      <xdr:colOff>2766060</xdr:colOff>
      <xdr:row>39</xdr:row>
      <xdr:rowOff>2305050</xdr:rowOff>
    </xdr:to>
    <xdr:pic>
      <xdr:nvPicPr>
        <xdr:cNvPr id="42" name="图片 4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61472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</xdr:row>
      <xdr:rowOff>64770</xdr:rowOff>
    </xdr:from>
    <xdr:to>
      <xdr:col>4</xdr:col>
      <xdr:colOff>2766060</xdr:colOff>
      <xdr:row>40</xdr:row>
      <xdr:rowOff>2305050</xdr:rowOff>
    </xdr:to>
    <xdr:pic>
      <xdr:nvPicPr>
        <xdr:cNvPr id="43" name="图片 4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86891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</xdr:row>
      <xdr:rowOff>64770</xdr:rowOff>
    </xdr:from>
    <xdr:to>
      <xdr:col>4</xdr:col>
      <xdr:colOff>2766060</xdr:colOff>
      <xdr:row>41</xdr:row>
      <xdr:rowOff>2305050</xdr:rowOff>
    </xdr:to>
    <xdr:pic>
      <xdr:nvPicPr>
        <xdr:cNvPr id="44" name="图片 4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12310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42</xdr:row>
      <xdr:rowOff>96520</xdr:rowOff>
    </xdr:from>
    <xdr:to>
      <xdr:col>4</xdr:col>
      <xdr:colOff>2766060</xdr:colOff>
      <xdr:row>42</xdr:row>
      <xdr:rowOff>2336800</xdr:rowOff>
    </xdr:to>
    <xdr:pic>
      <xdr:nvPicPr>
        <xdr:cNvPr id="45" name="图片 4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38047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43</xdr:row>
      <xdr:rowOff>140970</xdr:rowOff>
    </xdr:from>
    <xdr:to>
      <xdr:col>4</xdr:col>
      <xdr:colOff>2766060</xdr:colOff>
      <xdr:row>43</xdr:row>
      <xdr:rowOff>2381250</xdr:rowOff>
    </xdr:to>
    <xdr:pic>
      <xdr:nvPicPr>
        <xdr:cNvPr id="46" name="图片 4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63910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44</xdr:row>
      <xdr:rowOff>83820</xdr:rowOff>
    </xdr:from>
    <xdr:to>
      <xdr:col>4</xdr:col>
      <xdr:colOff>2766060</xdr:colOff>
      <xdr:row>44</xdr:row>
      <xdr:rowOff>2324100</xdr:rowOff>
    </xdr:to>
    <xdr:pic>
      <xdr:nvPicPr>
        <xdr:cNvPr id="47" name="图片 4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88758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45</xdr:row>
      <xdr:rowOff>45720</xdr:rowOff>
    </xdr:from>
    <xdr:to>
      <xdr:col>4</xdr:col>
      <xdr:colOff>2766060</xdr:colOff>
      <xdr:row>45</xdr:row>
      <xdr:rowOff>2286000</xdr:rowOff>
    </xdr:to>
    <xdr:pic>
      <xdr:nvPicPr>
        <xdr:cNvPr id="48" name="图片 4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113796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46</xdr:row>
      <xdr:rowOff>64770</xdr:rowOff>
    </xdr:from>
    <xdr:to>
      <xdr:col>4</xdr:col>
      <xdr:colOff>2766060</xdr:colOff>
      <xdr:row>46</xdr:row>
      <xdr:rowOff>2305050</xdr:rowOff>
    </xdr:to>
    <xdr:pic>
      <xdr:nvPicPr>
        <xdr:cNvPr id="49" name="图片 4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139405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47</xdr:row>
      <xdr:rowOff>83820</xdr:rowOff>
    </xdr:from>
    <xdr:to>
      <xdr:col>4</xdr:col>
      <xdr:colOff>2766060</xdr:colOff>
      <xdr:row>47</xdr:row>
      <xdr:rowOff>2324100</xdr:rowOff>
    </xdr:to>
    <xdr:pic>
      <xdr:nvPicPr>
        <xdr:cNvPr id="50" name="图片 4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165015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48</xdr:row>
      <xdr:rowOff>102870</xdr:rowOff>
    </xdr:from>
    <xdr:to>
      <xdr:col>4</xdr:col>
      <xdr:colOff>2766060</xdr:colOff>
      <xdr:row>48</xdr:row>
      <xdr:rowOff>2343150</xdr:rowOff>
    </xdr:to>
    <xdr:pic>
      <xdr:nvPicPr>
        <xdr:cNvPr id="51" name="图片 5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190625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49</xdr:row>
      <xdr:rowOff>83820</xdr:rowOff>
    </xdr:from>
    <xdr:to>
      <xdr:col>4</xdr:col>
      <xdr:colOff>2766060</xdr:colOff>
      <xdr:row>49</xdr:row>
      <xdr:rowOff>2324100</xdr:rowOff>
    </xdr:to>
    <xdr:pic>
      <xdr:nvPicPr>
        <xdr:cNvPr id="52" name="图片 5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215853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50</xdr:row>
      <xdr:rowOff>140970</xdr:rowOff>
    </xdr:from>
    <xdr:to>
      <xdr:col>4</xdr:col>
      <xdr:colOff>2766060</xdr:colOff>
      <xdr:row>50</xdr:row>
      <xdr:rowOff>2381250</xdr:rowOff>
    </xdr:to>
    <xdr:pic>
      <xdr:nvPicPr>
        <xdr:cNvPr id="53" name="图片 5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241844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51</xdr:row>
      <xdr:rowOff>83820</xdr:rowOff>
    </xdr:from>
    <xdr:to>
      <xdr:col>4</xdr:col>
      <xdr:colOff>2766060</xdr:colOff>
      <xdr:row>51</xdr:row>
      <xdr:rowOff>2324100</xdr:rowOff>
    </xdr:to>
    <xdr:pic>
      <xdr:nvPicPr>
        <xdr:cNvPr id="54" name="图片 5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266691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52</xdr:row>
      <xdr:rowOff>121920</xdr:rowOff>
    </xdr:from>
    <xdr:to>
      <xdr:col>4</xdr:col>
      <xdr:colOff>2766060</xdr:colOff>
      <xdr:row>52</xdr:row>
      <xdr:rowOff>2362200</xdr:rowOff>
    </xdr:to>
    <xdr:pic>
      <xdr:nvPicPr>
        <xdr:cNvPr id="55" name="图片 5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292491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53</xdr:row>
      <xdr:rowOff>121920</xdr:rowOff>
    </xdr:from>
    <xdr:to>
      <xdr:col>4</xdr:col>
      <xdr:colOff>2766060</xdr:colOff>
      <xdr:row>53</xdr:row>
      <xdr:rowOff>2362200</xdr:rowOff>
    </xdr:to>
    <xdr:pic>
      <xdr:nvPicPr>
        <xdr:cNvPr id="56" name="图片 5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317910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54</xdr:row>
      <xdr:rowOff>64770</xdr:rowOff>
    </xdr:from>
    <xdr:to>
      <xdr:col>4</xdr:col>
      <xdr:colOff>2766060</xdr:colOff>
      <xdr:row>54</xdr:row>
      <xdr:rowOff>2305050</xdr:rowOff>
    </xdr:to>
    <xdr:pic>
      <xdr:nvPicPr>
        <xdr:cNvPr id="57" name="图片 5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342758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55</xdr:row>
      <xdr:rowOff>83820</xdr:rowOff>
    </xdr:from>
    <xdr:to>
      <xdr:col>4</xdr:col>
      <xdr:colOff>2766060</xdr:colOff>
      <xdr:row>55</xdr:row>
      <xdr:rowOff>2324100</xdr:rowOff>
    </xdr:to>
    <xdr:pic>
      <xdr:nvPicPr>
        <xdr:cNvPr id="58" name="图片 5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368367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56</xdr:row>
      <xdr:rowOff>102870</xdr:rowOff>
    </xdr:from>
    <xdr:to>
      <xdr:col>4</xdr:col>
      <xdr:colOff>2766060</xdr:colOff>
      <xdr:row>56</xdr:row>
      <xdr:rowOff>2343150</xdr:rowOff>
    </xdr:to>
    <xdr:pic>
      <xdr:nvPicPr>
        <xdr:cNvPr id="59" name="图片 5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393977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57</xdr:row>
      <xdr:rowOff>77470</xdr:rowOff>
    </xdr:from>
    <xdr:to>
      <xdr:col>4</xdr:col>
      <xdr:colOff>2766060</xdr:colOff>
      <xdr:row>57</xdr:row>
      <xdr:rowOff>2317750</xdr:rowOff>
    </xdr:to>
    <xdr:pic>
      <xdr:nvPicPr>
        <xdr:cNvPr id="60" name="图片 5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419142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58</xdr:row>
      <xdr:rowOff>160020</xdr:rowOff>
    </xdr:from>
    <xdr:to>
      <xdr:col>4</xdr:col>
      <xdr:colOff>2766060</xdr:colOff>
      <xdr:row>58</xdr:row>
      <xdr:rowOff>2400300</xdr:rowOff>
    </xdr:to>
    <xdr:pic>
      <xdr:nvPicPr>
        <xdr:cNvPr id="61" name="图片 6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445387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59</xdr:row>
      <xdr:rowOff>140970</xdr:rowOff>
    </xdr:from>
    <xdr:to>
      <xdr:col>4</xdr:col>
      <xdr:colOff>2766060</xdr:colOff>
      <xdr:row>59</xdr:row>
      <xdr:rowOff>2381250</xdr:rowOff>
    </xdr:to>
    <xdr:pic>
      <xdr:nvPicPr>
        <xdr:cNvPr id="62" name="图片 6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470615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60</xdr:row>
      <xdr:rowOff>83820</xdr:rowOff>
    </xdr:from>
    <xdr:to>
      <xdr:col>4</xdr:col>
      <xdr:colOff>2766060</xdr:colOff>
      <xdr:row>60</xdr:row>
      <xdr:rowOff>2324100</xdr:rowOff>
    </xdr:to>
    <xdr:pic>
      <xdr:nvPicPr>
        <xdr:cNvPr id="63" name="图片 6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495463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61</xdr:row>
      <xdr:rowOff>12065</xdr:rowOff>
    </xdr:from>
    <xdr:to>
      <xdr:col>4</xdr:col>
      <xdr:colOff>2766060</xdr:colOff>
      <xdr:row>61</xdr:row>
      <xdr:rowOff>2252345</xdr:rowOff>
    </xdr:to>
    <xdr:pic>
      <xdr:nvPicPr>
        <xdr:cNvPr id="64" name="图片 6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520164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62</xdr:row>
      <xdr:rowOff>64770</xdr:rowOff>
    </xdr:from>
    <xdr:to>
      <xdr:col>4</xdr:col>
      <xdr:colOff>2766060</xdr:colOff>
      <xdr:row>62</xdr:row>
      <xdr:rowOff>2305050</xdr:rowOff>
    </xdr:to>
    <xdr:pic>
      <xdr:nvPicPr>
        <xdr:cNvPr id="65" name="图片 6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546110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63</xdr:row>
      <xdr:rowOff>83820</xdr:rowOff>
    </xdr:from>
    <xdr:to>
      <xdr:col>4</xdr:col>
      <xdr:colOff>2766060</xdr:colOff>
      <xdr:row>63</xdr:row>
      <xdr:rowOff>2324100</xdr:rowOff>
    </xdr:to>
    <xdr:pic>
      <xdr:nvPicPr>
        <xdr:cNvPr id="66" name="图片 6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571720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64</xdr:row>
      <xdr:rowOff>45720</xdr:rowOff>
    </xdr:from>
    <xdr:to>
      <xdr:col>4</xdr:col>
      <xdr:colOff>2766060</xdr:colOff>
      <xdr:row>64</xdr:row>
      <xdr:rowOff>2286000</xdr:rowOff>
    </xdr:to>
    <xdr:pic>
      <xdr:nvPicPr>
        <xdr:cNvPr id="67" name="图片 6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596758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65</xdr:row>
      <xdr:rowOff>83820</xdr:rowOff>
    </xdr:from>
    <xdr:to>
      <xdr:col>4</xdr:col>
      <xdr:colOff>2766060</xdr:colOff>
      <xdr:row>65</xdr:row>
      <xdr:rowOff>2324100</xdr:rowOff>
    </xdr:to>
    <xdr:pic>
      <xdr:nvPicPr>
        <xdr:cNvPr id="68" name="图片 6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622558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66</xdr:row>
      <xdr:rowOff>121920</xdr:rowOff>
    </xdr:from>
    <xdr:to>
      <xdr:col>4</xdr:col>
      <xdr:colOff>2766060</xdr:colOff>
      <xdr:row>66</xdr:row>
      <xdr:rowOff>2362200</xdr:rowOff>
    </xdr:to>
    <xdr:pic>
      <xdr:nvPicPr>
        <xdr:cNvPr id="69" name="图片 6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648358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67</xdr:row>
      <xdr:rowOff>41910</xdr:rowOff>
    </xdr:from>
    <xdr:to>
      <xdr:col>4</xdr:col>
      <xdr:colOff>2766060</xdr:colOff>
      <xdr:row>67</xdr:row>
      <xdr:rowOff>2282190</xdr:rowOff>
    </xdr:to>
    <xdr:pic>
      <xdr:nvPicPr>
        <xdr:cNvPr id="70" name="图片 6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672977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68</xdr:row>
      <xdr:rowOff>234950</xdr:rowOff>
    </xdr:from>
    <xdr:to>
      <xdr:col>4</xdr:col>
      <xdr:colOff>2766060</xdr:colOff>
      <xdr:row>68</xdr:row>
      <xdr:rowOff>2475230</xdr:rowOff>
    </xdr:to>
    <xdr:pic>
      <xdr:nvPicPr>
        <xdr:cNvPr id="71" name="图片 7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700326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69</xdr:row>
      <xdr:rowOff>148590</xdr:rowOff>
    </xdr:from>
    <xdr:to>
      <xdr:col>4</xdr:col>
      <xdr:colOff>2766060</xdr:colOff>
      <xdr:row>69</xdr:row>
      <xdr:rowOff>2388870</xdr:rowOff>
    </xdr:to>
    <xdr:pic>
      <xdr:nvPicPr>
        <xdr:cNvPr id="72" name="图片 7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724882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70</xdr:row>
      <xdr:rowOff>153670</xdr:rowOff>
    </xdr:from>
    <xdr:to>
      <xdr:col>4</xdr:col>
      <xdr:colOff>2766060</xdr:colOff>
      <xdr:row>70</xdr:row>
      <xdr:rowOff>2393950</xdr:rowOff>
    </xdr:to>
    <xdr:pic>
      <xdr:nvPicPr>
        <xdr:cNvPr id="73" name="图片 7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750352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71</xdr:row>
      <xdr:rowOff>219710</xdr:rowOff>
    </xdr:from>
    <xdr:to>
      <xdr:col>4</xdr:col>
      <xdr:colOff>2766060</xdr:colOff>
      <xdr:row>71</xdr:row>
      <xdr:rowOff>2459990</xdr:rowOff>
    </xdr:to>
    <xdr:pic>
      <xdr:nvPicPr>
        <xdr:cNvPr id="74" name="图片 7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776431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72</xdr:row>
      <xdr:rowOff>72390</xdr:rowOff>
    </xdr:from>
    <xdr:to>
      <xdr:col>4</xdr:col>
      <xdr:colOff>2766060</xdr:colOff>
      <xdr:row>72</xdr:row>
      <xdr:rowOff>2312670</xdr:rowOff>
    </xdr:to>
    <xdr:pic>
      <xdr:nvPicPr>
        <xdr:cNvPr id="75" name="图片 7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800377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73</xdr:row>
      <xdr:rowOff>11430</xdr:rowOff>
    </xdr:from>
    <xdr:to>
      <xdr:col>4</xdr:col>
      <xdr:colOff>2766060</xdr:colOff>
      <xdr:row>73</xdr:row>
      <xdr:rowOff>2251710</xdr:rowOff>
    </xdr:to>
    <xdr:pic>
      <xdr:nvPicPr>
        <xdr:cNvPr id="76" name="图片 7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825186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74</xdr:row>
      <xdr:rowOff>72390</xdr:rowOff>
    </xdr:from>
    <xdr:to>
      <xdr:col>4</xdr:col>
      <xdr:colOff>2766060</xdr:colOff>
      <xdr:row>74</xdr:row>
      <xdr:rowOff>2312670</xdr:rowOff>
    </xdr:to>
    <xdr:pic>
      <xdr:nvPicPr>
        <xdr:cNvPr id="77" name="图片 7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851215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75</xdr:row>
      <xdr:rowOff>107950</xdr:rowOff>
    </xdr:from>
    <xdr:to>
      <xdr:col>4</xdr:col>
      <xdr:colOff>2766060</xdr:colOff>
      <xdr:row>75</xdr:row>
      <xdr:rowOff>2348230</xdr:rowOff>
    </xdr:to>
    <xdr:pic>
      <xdr:nvPicPr>
        <xdr:cNvPr id="78" name="图片 7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876990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76</xdr:row>
      <xdr:rowOff>173990</xdr:rowOff>
    </xdr:from>
    <xdr:to>
      <xdr:col>4</xdr:col>
      <xdr:colOff>2766060</xdr:colOff>
      <xdr:row>76</xdr:row>
      <xdr:rowOff>2414270</xdr:rowOff>
    </xdr:to>
    <xdr:pic>
      <xdr:nvPicPr>
        <xdr:cNvPr id="79" name="图片 7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903069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77</xdr:row>
      <xdr:rowOff>41910</xdr:rowOff>
    </xdr:from>
    <xdr:to>
      <xdr:col>4</xdr:col>
      <xdr:colOff>2766060</xdr:colOff>
      <xdr:row>77</xdr:row>
      <xdr:rowOff>2282190</xdr:rowOff>
    </xdr:to>
    <xdr:pic>
      <xdr:nvPicPr>
        <xdr:cNvPr id="80" name="图片 7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927167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78</xdr:row>
      <xdr:rowOff>77470</xdr:rowOff>
    </xdr:from>
    <xdr:to>
      <xdr:col>4</xdr:col>
      <xdr:colOff>2766060</xdr:colOff>
      <xdr:row>78</xdr:row>
      <xdr:rowOff>2317750</xdr:rowOff>
    </xdr:to>
    <xdr:pic>
      <xdr:nvPicPr>
        <xdr:cNvPr id="81" name="图片 8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952942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79</xdr:row>
      <xdr:rowOff>21590</xdr:rowOff>
    </xdr:from>
    <xdr:to>
      <xdr:col>4</xdr:col>
      <xdr:colOff>2766060</xdr:colOff>
      <xdr:row>79</xdr:row>
      <xdr:rowOff>2261870</xdr:rowOff>
    </xdr:to>
    <xdr:pic>
      <xdr:nvPicPr>
        <xdr:cNvPr id="82" name="图片 8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977802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80</xdr:row>
      <xdr:rowOff>87630</xdr:rowOff>
    </xdr:from>
    <xdr:to>
      <xdr:col>4</xdr:col>
      <xdr:colOff>2766060</xdr:colOff>
      <xdr:row>80</xdr:row>
      <xdr:rowOff>2327910</xdr:rowOff>
    </xdr:to>
    <xdr:pic>
      <xdr:nvPicPr>
        <xdr:cNvPr id="83" name="图片 8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003882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81</xdr:row>
      <xdr:rowOff>92710</xdr:rowOff>
    </xdr:from>
    <xdr:to>
      <xdr:col>4</xdr:col>
      <xdr:colOff>2766060</xdr:colOff>
      <xdr:row>81</xdr:row>
      <xdr:rowOff>2332990</xdr:rowOff>
    </xdr:to>
    <xdr:pic>
      <xdr:nvPicPr>
        <xdr:cNvPr id="84" name="图片 8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029352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87</xdr:row>
      <xdr:rowOff>102870</xdr:rowOff>
    </xdr:from>
    <xdr:to>
      <xdr:col>4</xdr:col>
      <xdr:colOff>2766060</xdr:colOff>
      <xdr:row>87</xdr:row>
      <xdr:rowOff>2343150</xdr:rowOff>
    </xdr:to>
    <xdr:pic>
      <xdr:nvPicPr>
        <xdr:cNvPr id="85" name="图片 8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181967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82</xdr:row>
      <xdr:rowOff>11430</xdr:rowOff>
    </xdr:from>
    <xdr:to>
      <xdr:col>4</xdr:col>
      <xdr:colOff>2766060</xdr:colOff>
      <xdr:row>82</xdr:row>
      <xdr:rowOff>2251710</xdr:rowOff>
    </xdr:to>
    <xdr:pic>
      <xdr:nvPicPr>
        <xdr:cNvPr id="86" name="图片 8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053958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83</xdr:row>
      <xdr:rowOff>72390</xdr:rowOff>
    </xdr:from>
    <xdr:to>
      <xdr:col>4</xdr:col>
      <xdr:colOff>2766060</xdr:colOff>
      <xdr:row>83</xdr:row>
      <xdr:rowOff>2312670</xdr:rowOff>
    </xdr:to>
    <xdr:pic>
      <xdr:nvPicPr>
        <xdr:cNvPr id="87" name="图片 8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079986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84</xdr:row>
      <xdr:rowOff>102870</xdr:rowOff>
    </xdr:from>
    <xdr:to>
      <xdr:col>4</xdr:col>
      <xdr:colOff>2766060</xdr:colOff>
      <xdr:row>84</xdr:row>
      <xdr:rowOff>2343150</xdr:rowOff>
    </xdr:to>
    <xdr:pic>
      <xdr:nvPicPr>
        <xdr:cNvPr id="88" name="图片 8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105710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85</xdr:row>
      <xdr:rowOff>41910</xdr:rowOff>
    </xdr:from>
    <xdr:to>
      <xdr:col>4</xdr:col>
      <xdr:colOff>2766060</xdr:colOff>
      <xdr:row>85</xdr:row>
      <xdr:rowOff>2282190</xdr:rowOff>
    </xdr:to>
    <xdr:pic>
      <xdr:nvPicPr>
        <xdr:cNvPr id="89" name="图片 8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130520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86</xdr:row>
      <xdr:rowOff>41910</xdr:rowOff>
    </xdr:from>
    <xdr:to>
      <xdr:col>4</xdr:col>
      <xdr:colOff>2766060</xdr:colOff>
      <xdr:row>86</xdr:row>
      <xdr:rowOff>2282190</xdr:rowOff>
    </xdr:to>
    <xdr:pic>
      <xdr:nvPicPr>
        <xdr:cNvPr id="90" name="图片 8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155939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88</xdr:row>
      <xdr:rowOff>72390</xdr:rowOff>
    </xdr:from>
    <xdr:to>
      <xdr:col>4</xdr:col>
      <xdr:colOff>2766060</xdr:colOff>
      <xdr:row>88</xdr:row>
      <xdr:rowOff>2312670</xdr:rowOff>
    </xdr:to>
    <xdr:pic>
      <xdr:nvPicPr>
        <xdr:cNvPr id="91" name="图片 9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207082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89</xdr:row>
      <xdr:rowOff>72390</xdr:rowOff>
    </xdr:from>
    <xdr:to>
      <xdr:col>4</xdr:col>
      <xdr:colOff>2766060</xdr:colOff>
      <xdr:row>89</xdr:row>
      <xdr:rowOff>2312670</xdr:rowOff>
    </xdr:to>
    <xdr:pic>
      <xdr:nvPicPr>
        <xdr:cNvPr id="92" name="图片 9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232501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90</xdr:row>
      <xdr:rowOff>11430</xdr:rowOff>
    </xdr:from>
    <xdr:to>
      <xdr:col>4</xdr:col>
      <xdr:colOff>2766060</xdr:colOff>
      <xdr:row>90</xdr:row>
      <xdr:rowOff>2251710</xdr:rowOff>
    </xdr:to>
    <xdr:pic>
      <xdr:nvPicPr>
        <xdr:cNvPr id="93" name="图片 9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257310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91</xdr:row>
      <xdr:rowOff>41910</xdr:rowOff>
    </xdr:from>
    <xdr:to>
      <xdr:col>4</xdr:col>
      <xdr:colOff>2766060</xdr:colOff>
      <xdr:row>91</xdr:row>
      <xdr:rowOff>2282190</xdr:rowOff>
    </xdr:to>
    <xdr:pic>
      <xdr:nvPicPr>
        <xdr:cNvPr id="94" name="图片 9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283034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92</xdr:row>
      <xdr:rowOff>16510</xdr:rowOff>
    </xdr:from>
    <xdr:to>
      <xdr:col>4</xdr:col>
      <xdr:colOff>2766060</xdr:colOff>
      <xdr:row>92</xdr:row>
      <xdr:rowOff>2256790</xdr:rowOff>
    </xdr:to>
    <xdr:pic>
      <xdr:nvPicPr>
        <xdr:cNvPr id="95" name="图片 9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308199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93</xdr:row>
      <xdr:rowOff>133350</xdr:rowOff>
    </xdr:from>
    <xdr:to>
      <xdr:col>4</xdr:col>
      <xdr:colOff>2766060</xdr:colOff>
      <xdr:row>93</xdr:row>
      <xdr:rowOff>2373630</xdr:rowOff>
    </xdr:to>
    <xdr:pic>
      <xdr:nvPicPr>
        <xdr:cNvPr id="96" name="图片 9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334787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94</xdr:row>
      <xdr:rowOff>11430</xdr:rowOff>
    </xdr:from>
    <xdr:to>
      <xdr:col>4</xdr:col>
      <xdr:colOff>2766060</xdr:colOff>
      <xdr:row>94</xdr:row>
      <xdr:rowOff>2251710</xdr:rowOff>
    </xdr:to>
    <xdr:pic>
      <xdr:nvPicPr>
        <xdr:cNvPr id="97" name="图片 9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358986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95</xdr:row>
      <xdr:rowOff>107950</xdr:rowOff>
    </xdr:from>
    <xdr:to>
      <xdr:col>4</xdr:col>
      <xdr:colOff>2766060</xdr:colOff>
      <xdr:row>95</xdr:row>
      <xdr:rowOff>2348230</xdr:rowOff>
    </xdr:to>
    <xdr:pic>
      <xdr:nvPicPr>
        <xdr:cNvPr id="98" name="图片 9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385371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96</xdr:row>
      <xdr:rowOff>133350</xdr:rowOff>
    </xdr:from>
    <xdr:to>
      <xdr:col>4</xdr:col>
      <xdr:colOff>2766060</xdr:colOff>
      <xdr:row>96</xdr:row>
      <xdr:rowOff>2373630</xdr:rowOff>
    </xdr:to>
    <xdr:pic>
      <xdr:nvPicPr>
        <xdr:cNvPr id="99" name="图片 9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411044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97</xdr:row>
      <xdr:rowOff>101600</xdr:rowOff>
    </xdr:from>
    <xdr:to>
      <xdr:col>4</xdr:col>
      <xdr:colOff>2766060</xdr:colOff>
      <xdr:row>97</xdr:row>
      <xdr:rowOff>2341880</xdr:rowOff>
    </xdr:to>
    <xdr:pic>
      <xdr:nvPicPr>
        <xdr:cNvPr id="100" name="图片 9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436145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98</xdr:row>
      <xdr:rowOff>121920</xdr:rowOff>
    </xdr:from>
    <xdr:to>
      <xdr:col>4</xdr:col>
      <xdr:colOff>2766060</xdr:colOff>
      <xdr:row>98</xdr:row>
      <xdr:rowOff>2362200</xdr:rowOff>
    </xdr:to>
    <xdr:pic>
      <xdr:nvPicPr>
        <xdr:cNvPr id="101" name="图片 10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461768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99</xdr:row>
      <xdr:rowOff>39370</xdr:rowOff>
    </xdr:from>
    <xdr:to>
      <xdr:col>4</xdr:col>
      <xdr:colOff>2766060</xdr:colOff>
      <xdr:row>99</xdr:row>
      <xdr:rowOff>2279650</xdr:rowOff>
    </xdr:to>
    <xdr:pic>
      <xdr:nvPicPr>
        <xdr:cNvPr id="102" name="图片 10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486361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100</xdr:row>
      <xdr:rowOff>45720</xdr:rowOff>
    </xdr:from>
    <xdr:to>
      <xdr:col>4</xdr:col>
      <xdr:colOff>2766060</xdr:colOff>
      <xdr:row>100</xdr:row>
      <xdr:rowOff>2286000</xdr:rowOff>
    </xdr:to>
    <xdr:pic>
      <xdr:nvPicPr>
        <xdr:cNvPr id="103" name="图片 10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511844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101</xdr:row>
      <xdr:rowOff>198120</xdr:rowOff>
    </xdr:from>
    <xdr:to>
      <xdr:col>4</xdr:col>
      <xdr:colOff>2766060</xdr:colOff>
      <xdr:row>101</xdr:row>
      <xdr:rowOff>2438400</xdr:rowOff>
    </xdr:to>
    <xdr:pic>
      <xdr:nvPicPr>
        <xdr:cNvPr id="104" name="图片 10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538787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102</xdr:row>
      <xdr:rowOff>12065</xdr:rowOff>
    </xdr:from>
    <xdr:to>
      <xdr:col>4</xdr:col>
      <xdr:colOff>2766060</xdr:colOff>
      <xdr:row>102</xdr:row>
      <xdr:rowOff>2252345</xdr:rowOff>
    </xdr:to>
    <xdr:pic>
      <xdr:nvPicPr>
        <xdr:cNvPr id="105" name="图片 10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562345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103</xdr:row>
      <xdr:rowOff>83820</xdr:rowOff>
    </xdr:from>
    <xdr:to>
      <xdr:col>4</xdr:col>
      <xdr:colOff>2766060</xdr:colOff>
      <xdr:row>103</xdr:row>
      <xdr:rowOff>2324100</xdr:rowOff>
    </xdr:to>
    <xdr:pic>
      <xdr:nvPicPr>
        <xdr:cNvPr id="106" name="图片 10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588482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104</xdr:row>
      <xdr:rowOff>64770</xdr:rowOff>
    </xdr:from>
    <xdr:to>
      <xdr:col>4</xdr:col>
      <xdr:colOff>2766060</xdr:colOff>
      <xdr:row>104</xdr:row>
      <xdr:rowOff>2305050</xdr:rowOff>
    </xdr:to>
    <xdr:pic>
      <xdr:nvPicPr>
        <xdr:cNvPr id="107" name="图片 10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613710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105</xdr:row>
      <xdr:rowOff>121920</xdr:rowOff>
    </xdr:from>
    <xdr:to>
      <xdr:col>4</xdr:col>
      <xdr:colOff>2766060</xdr:colOff>
      <xdr:row>105</xdr:row>
      <xdr:rowOff>2362200</xdr:rowOff>
    </xdr:to>
    <xdr:pic>
      <xdr:nvPicPr>
        <xdr:cNvPr id="108" name="图片 10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639701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106</xdr:row>
      <xdr:rowOff>12065</xdr:rowOff>
    </xdr:from>
    <xdr:to>
      <xdr:col>4</xdr:col>
      <xdr:colOff>2766060</xdr:colOff>
      <xdr:row>106</xdr:row>
      <xdr:rowOff>2252345</xdr:rowOff>
    </xdr:to>
    <xdr:pic>
      <xdr:nvPicPr>
        <xdr:cNvPr id="109" name="图片 10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664021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107</xdr:row>
      <xdr:rowOff>12065</xdr:rowOff>
    </xdr:from>
    <xdr:to>
      <xdr:col>4</xdr:col>
      <xdr:colOff>2766060</xdr:colOff>
      <xdr:row>107</xdr:row>
      <xdr:rowOff>2252345</xdr:rowOff>
    </xdr:to>
    <xdr:pic>
      <xdr:nvPicPr>
        <xdr:cNvPr id="110" name="图片 10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689440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108</xdr:row>
      <xdr:rowOff>102870</xdr:rowOff>
    </xdr:from>
    <xdr:to>
      <xdr:col>4</xdr:col>
      <xdr:colOff>2766060</xdr:colOff>
      <xdr:row>108</xdr:row>
      <xdr:rowOff>2343150</xdr:rowOff>
    </xdr:to>
    <xdr:pic>
      <xdr:nvPicPr>
        <xdr:cNvPr id="111" name="图片 11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715768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109</xdr:row>
      <xdr:rowOff>83820</xdr:rowOff>
    </xdr:from>
    <xdr:to>
      <xdr:col>4</xdr:col>
      <xdr:colOff>2766060</xdr:colOff>
      <xdr:row>109</xdr:row>
      <xdr:rowOff>2324100</xdr:rowOff>
    </xdr:to>
    <xdr:pic>
      <xdr:nvPicPr>
        <xdr:cNvPr id="112" name="图片 11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740996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110</xdr:row>
      <xdr:rowOff>83820</xdr:rowOff>
    </xdr:from>
    <xdr:to>
      <xdr:col>4</xdr:col>
      <xdr:colOff>2766060</xdr:colOff>
      <xdr:row>110</xdr:row>
      <xdr:rowOff>2324100</xdr:rowOff>
    </xdr:to>
    <xdr:pic>
      <xdr:nvPicPr>
        <xdr:cNvPr id="113" name="图片 11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766415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111</xdr:row>
      <xdr:rowOff>83820</xdr:rowOff>
    </xdr:from>
    <xdr:to>
      <xdr:col>4</xdr:col>
      <xdr:colOff>2766060</xdr:colOff>
      <xdr:row>111</xdr:row>
      <xdr:rowOff>2324100</xdr:rowOff>
    </xdr:to>
    <xdr:pic>
      <xdr:nvPicPr>
        <xdr:cNvPr id="114" name="图片 11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791834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112</xdr:row>
      <xdr:rowOff>77470</xdr:rowOff>
    </xdr:from>
    <xdr:to>
      <xdr:col>4</xdr:col>
      <xdr:colOff>2766060</xdr:colOff>
      <xdr:row>112</xdr:row>
      <xdr:rowOff>2317750</xdr:rowOff>
    </xdr:to>
    <xdr:pic>
      <xdr:nvPicPr>
        <xdr:cNvPr id="115" name="图片 11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817190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113</xdr:row>
      <xdr:rowOff>109220</xdr:rowOff>
    </xdr:from>
    <xdr:to>
      <xdr:col>4</xdr:col>
      <xdr:colOff>2766060</xdr:colOff>
      <xdr:row>113</xdr:row>
      <xdr:rowOff>2349500</xdr:rowOff>
    </xdr:to>
    <xdr:pic>
      <xdr:nvPicPr>
        <xdr:cNvPr id="116" name="图片 11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842926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114</xdr:row>
      <xdr:rowOff>45720</xdr:rowOff>
    </xdr:from>
    <xdr:to>
      <xdr:col>4</xdr:col>
      <xdr:colOff>2766060</xdr:colOff>
      <xdr:row>114</xdr:row>
      <xdr:rowOff>2286000</xdr:rowOff>
    </xdr:to>
    <xdr:pic>
      <xdr:nvPicPr>
        <xdr:cNvPr id="117" name="图片 11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867710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115</xdr:row>
      <xdr:rowOff>83820</xdr:rowOff>
    </xdr:from>
    <xdr:to>
      <xdr:col>4</xdr:col>
      <xdr:colOff>2766060</xdr:colOff>
      <xdr:row>115</xdr:row>
      <xdr:rowOff>2324100</xdr:rowOff>
    </xdr:to>
    <xdr:pic>
      <xdr:nvPicPr>
        <xdr:cNvPr id="118" name="图片 11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893510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116</xdr:row>
      <xdr:rowOff>77470</xdr:rowOff>
    </xdr:from>
    <xdr:to>
      <xdr:col>4</xdr:col>
      <xdr:colOff>2766060</xdr:colOff>
      <xdr:row>116</xdr:row>
      <xdr:rowOff>2317750</xdr:rowOff>
    </xdr:to>
    <xdr:pic>
      <xdr:nvPicPr>
        <xdr:cNvPr id="119" name="图片 11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918866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117</xdr:row>
      <xdr:rowOff>52070</xdr:rowOff>
    </xdr:from>
    <xdr:to>
      <xdr:col>4</xdr:col>
      <xdr:colOff>2766060</xdr:colOff>
      <xdr:row>117</xdr:row>
      <xdr:rowOff>2292350</xdr:rowOff>
    </xdr:to>
    <xdr:pic>
      <xdr:nvPicPr>
        <xdr:cNvPr id="120" name="图片 11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944031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118</xdr:row>
      <xdr:rowOff>83820</xdr:rowOff>
    </xdr:from>
    <xdr:to>
      <xdr:col>4</xdr:col>
      <xdr:colOff>2766060</xdr:colOff>
      <xdr:row>118</xdr:row>
      <xdr:rowOff>2324100</xdr:rowOff>
    </xdr:to>
    <xdr:pic>
      <xdr:nvPicPr>
        <xdr:cNvPr id="121" name="图片 12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969768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120</xdr:row>
      <xdr:rowOff>133350</xdr:rowOff>
    </xdr:from>
    <xdr:to>
      <xdr:col>4</xdr:col>
      <xdr:colOff>2766060</xdr:colOff>
      <xdr:row>120</xdr:row>
      <xdr:rowOff>2373630</xdr:rowOff>
    </xdr:to>
    <xdr:pic>
      <xdr:nvPicPr>
        <xdr:cNvPr id="122" name="图片 12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021101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119</xdr:row>
      <xdr:rowOff>41910</xdr:rowOff>
    </xdr:from>
    <xdr:to>
      <xdr:col>4</xdr:col>
      <xdr:colOff>2766060</xdr:colOff>
      <xdr:row>119</xdr:row>
      <xdr:rowOff>2282190</xdr:rowOff>
    </xdr:to>
    <xdr:pic>
      <xdr:nvPicPr>
        <xdr:cNvPr id="123" name="图片 12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2994767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121</xdr:row>
      <xdr:rowOff>11430</xdr:rowOff>
    </xdr:from>
    <xdr:to>
      <xdr:col>4</xdr:col>
      <xdr:colOff>2766060</xdr:colOff>
      <xdr:row>121</xdr:row>
      <xdr:rowOff>2251710</xdr:rowOff>
    </xdr:to>
    <xdr:pic>
      <xdr:nvPicPr>
        <xdr:cNvPr id="124" name="图片 12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045301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122</xdr:row>
      <xdr:rowOff>72390</xdr:rowOff>
    </xdr:from>
    <xdr:to>
      <xdr:col>4</xdr:col>
      <xdr:colOff>2766060</xdr:colOff>
      <xdr:row>122</xdr:row>
      <xdr:rowOff>2312670</xdr:rowOff>
    </xdr:to>
    <xdr:pic>
      <xdr:nvPicPr>
        <xdr:cNvPr id="125" name="图片 12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071329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123</xdr:row>
      <xdr:rowOff>72390</xdr:rowOff>
    </xdr:from>
    <xdr:to>
      <xdr:col>4</xdr:col>
      <xdr:colOff>2766060</xdr:colOff>
      <xdr:row>123</xdr:row>
      <xdr:rowOff>2312670</xdr:rowOff>
    </xdr:to>
    <xdr:pic>
      <xdr:nvPicPr>
        <xdr:cNvPr id="126" name="图片 12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096748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124</xdr:row>
      <xdr:rowOff>102870</xdr:rowOff>
    </xdr:from>
    <xdr:to>
      <xdr:col>4</xdr:col>
      <xdr:colOff>2766060</xdr:colOff>
      <xdr:row>124</xdr:row>
      <xdr:rowOff>2343150</xdr:rowOff>
    </xdr:to>
    <xdr:pic>
      <xdr:nvPicPr>
        <xdr:cNvPr id="127" name="图片 12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122472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126</xdr:row>
      <xdr:rowOff>12065</xdr:rowOff>
    </xdr:from>
    <xdr:to>
      <xdr:col>4</xdr:col>
      <xdr:colOff>2766060</xdr:colOff>
      <xdr:row>126</xdr:row>
      <xdr:rowOff>2252345</xdr:rowOff>
    </xdr:to>
    <xdr:pic>
      <xdr:nvPicPr>
        <xdr:cNvPr id="128" name="图片 12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172402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127</xdr:row>
      <xdr:rowOff>41910</xdr:rowOff>
    </xdr:from>
    <xdr:to>
      <xdr:col>4</xdr:col>
      <xdr:colOff>2766060</xdr:colOff>
      <xdr:row>127</xdr:row>
      <xdr:rowOff>2282190</xdr:rowOff>
    </xdr:to>
    <xdr:pic>
      <xdr:nvPicPr>
        <xdr:cNvPr id="129" name="图片 12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198120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128</xdr:row>
      <xdr:rowOff>260350</xdr:rowOff>
    </xdr:from>
    <xdr:to>
      <xdr:col>4</xdr:col>
      <xdr:colOff>2766060</xdr:colOff>
      <xdr:row>128</xdr:row>
      <xdr:rowOff>2500630</xdr:rowOff>
    </xdr:to>
    <xdr:pic>
      <xdr:nvPicPr>
        <xdr:cNvPr id="130" name="图片 12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225723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129</xdr:row>
      <xdr:rowOff>265430</xdr:rowOff>
    </xdr:from>
    <xdr:to>
      <xdr:col>4</xdr:col>
      <xdr:colOff>2766060</xdr:colOff>
      <xdr:row>129</xdr:row>
      <xdr:rowOff>2505710</xdr:rowOff>
    </xdr:to>
    <xdr:pic>
      <xdr:nvPicPr>
        <xdr:cNvPr id="131" name="图片 13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251193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130</xdr:row>
      <xdr:rowOff>270510</xdr:rowOff>
    </xdr:from>
    <xdr:to>
      <xdr:col>4</xdr:col>
      <xdr:colOff>2766060</xdr:colOff>
      <xdr:row>130</xdr:row>
      <xdr:rowOff>2510790</xdr:rowOff>
    </xdr:to>
    <xdr:pic>
      <xdr:nvPicPr>
        <xdr:cNvPr id="132" name="图片 13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276663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131</xdr:row>
      <xdr:rowOff>214630</xdr:rowOff>
    </xdr:from>
    <xdr:to>
      <xdr:col>4</xdr:col>
      <xdr:colOff>2766060</xdr:colOff>
      <xdr:row>131</xdr:row>
      <xdr:rowOff>2454910</xdr:rowOff>
    </xdr:to>
    <xdr:pic>
      <xdr:nvPicPr>
        <xdr:cNvPr id="133" name="图片 13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301523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132</xdr:row>
      <xdr:rowOff>36830</xdr:rowOff>
    </xdr:from>
    <xdr:to>
      <xdr:col>4</xdr:col>
      <xdr:colOff>2766060</xdr:colOff>
      <xdr:row>132</xdr:row>
      <xdr:rowOff>2277110</xdr:rowOff>
    </xdr:to>
    <xdr:pic>
      <xdr:nvPicPr>
        <xdr:cNvPr id="134" name="图片 13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325164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133</xdr:row>
      <xdr:rowOff>133350</xdr:rowOff>
    </xdr:from>
    <xdr:to>
      <xdr:col>4</xdr:col>
      <xdr:colOff>2766060</xdr:colOff>
      <xdr:row>133</xdr:row>
      <xdr:rowOff>2373630</xdr:rowOff>
    </xdr:to>
    <xdr:pic>
      <xdr:nvPicPr>
        <xdr:cNvPr id="135" name="图片 13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351549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134</xdr:row>
      <xdr:rowOff>72390</xdr:rowOff>
    </xdr:from>
    <xdr:to>
      <xdr:col>4</xdr:col>
      <xdr:colOff>2766060</xdr:colOff>
      <xdr:row>134</xdr:row>
      <xdr:rowOff>2312670</xdr:rowOff>
    </xdr:to>
    <xdr:pic>
      <xdr:nvPicPr>
        <xdr:cNvPr id="136" name="图片 13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376358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135</xdr:row>
      <xdr:rowOff>199390</xdr:rowOff>
    </xdr:from>
    <xdr:to>
      <xdr:col>4</xdr:col>
      <xdr:colOff>2766060</xdr:colOff>
      <xdr:row>135</xdr:row>
      <xdr:rowOff>2439670</xdr:rowOff>
    </xdr:to>
    <xdr:pic>
      <xdr:nvPicPr>
        <xdr:cNvPr id="137" name="图片 13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403047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136</xdr:row>
      <xdr:rowOff>72390</xdr:rowOff>
    </xdr:from>
    <xdr:to>
      <xdr:col>4</xdr:col>
      <xdr:colOff>2766060</xdr:colOff>
      <xdr:row>136</xdr:row>
      <xdr:rowOff>2312670</xdr:rowOff>
    </xdr:to>
    <xdr:pic>
      <xdr:nvPicPr>
        <xdr:cNvPr id="138" name="图片 13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427196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137</xdr:row>
      <xdr:rowOff>77470</xdr:rowOff>
    </xdr:from>
    <xdr:to>
      <xdr:col>4</xdr:col>
      <xdr:colOff>2766060</xdr:colOff>
      <xdr:row>137</xdr:row>
      <xdr:rowOff>2317750</xdr:rowOff>
    </xdr:to>
    <xdr:pic>
      <xdr:nvPicPr>
        <xdr:cNvPr id="139" name="图片 13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452666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138</xdr:row>
      <xdr:rowOff>143510</xdr:rowOff>
    </xdr:from>
    <xdr:to>
      <xdr:col>4</xdr:col>
      <xdr:colOff>2766060</xdr:colOff>
      <xdr:row>138</xdr:row>
      <xdr:rowOff>2383790</xdr:rowOff>
    </xdr:to>
    <xdr:pic>
      <xdr:nvPicPr>
        <xdr:cNvPr id="140" name="图片 13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478745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139</xdr:row>
      <xdr:rowOff>214630</xdr:rowOff>
    </xdr:from>
    <xdr:to>
      <xdr:col>4</xdr:col>
      <xdr:colOff>2766060</xdr:colOff>
      <xdr:row>139</xdr:row>
      <xdr:rowOff>2454910</xdr:rowOff>
    </xdr:to>
    <xdr:pic>
      <xdr:nvPicPr>
        <xdr:cNvPr id="141" name="图片 14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504876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125</xdr:row>
      <xdr:rowOff>107950</xdr:rowOff>
    </xdr:from>
    <xdr:to>
      <xdr:col>4</xdr:col>
      <xdr:colOff>2766060</xdr:colOff>
      <xdr:row>125</xdr:row>
      <xdr:rowOff>2348230</xdr:rowOff>
    </xdr:to>
    <xdr:pic>
      <xdr:nvPicPr>
        <xdr:cNvPr id="142" name="图片 14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147942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140</xdr:row>
      <xdr:rowOff>114300</xdr:rowOff>
    </xdr:from>
    <xdr:to>
      <xdr:col>4</xdr:col>
      <xdr:colOff>2766060</xdr:colOff>
      <xdr:row>140</xdr:row>
      <xdr:rowOff>2354580</xdr:rowOff>
    </xdr:to>
    <xdr:pic>
      <xdr:nvPicPr>
        <xdr:cNvPr id="144" name="图片 14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529291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141</xdr:row>
      <xdr:rowOff>194310</xdr:rowOff>
    </xdr:from>
    <xdr:to>
      <xdr:col>4</xdr:col>
      <xdr:colOff>2766060</xdr:colOff>
      <xdr:row>141</xdr:row>
      <xdr:rowOff>2434590</xdr:rowOff>
    </xdr:to>
    <xdr:pic>
      <xdr:nvPicPr>
        <xdr:cNvPr id="145" name="图片 14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555511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143</xdr:row>
      <xdr:rowOff>138430</xdr:rowOff>
    </xdr:from>
    <xdr:to>
      <xdr:col>4</xdr:col>
      <xdr:colOff>2766060</xdr:colOff>
      <xdr:row>143</xdr:row>
      <xdr:rowOff>2378710</xdr:rowOff>
    </xdr:to>
    <xdr:pic>
      <xdr:nvPicPr>
        <xdr:cNvPr id="146" name="图片 14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605790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144</xdr:row>
      <xdr:rowOff>143510</xdr:rowOff>
    </xdr:from>
    <xdr:to>
      <xdr:col>4</xdr:col>
      <xdr:colOff>2766060</xdr:colOff>
      <xdr:row>144</xdr:row>
      <xdr:rowOff>2383790</xdr:rowOff>
    </xdr:to>
    <xdr:pic>
      <xdr:nvPicPr>
        <xdr:cNvPr id="147" name="图片 14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631260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145</xdr:row>
      <xdr:rowOff>41910</xdr:rowOff>
    </xdr:from>
    <xdr:to>
      <xdr:col>4</xdr:col>
      <xdr:colOff>2766060</xdr:colOff>
      <xdr:row>145</xdr:row>
      <xdr:rowOff>2282190</xdr:rowOff>
    </xdr:to>
    <xdr:pic>
      <xdr:nvPicPr>
        <xdr:cNvPr id="148" name="图片 14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655663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146</xdr:row>
      <xdr:rowOff>163830</xdr:rowOff>
    </xdr:from>
    <xdr:to>
      <xdr:col>4</xdr:col>
      <xdr:colOff>2766060</xdr:colOff>
      <xdr:row>146</xdr:row>
      <xdr:rowOff>2404110</xdr:rowOff>
    </xdr:to>
    <xdr:pic>
      <xdr:nvPicPr>
        <xdr:cNvPr id="149" name="图片 14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682301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147</xdr:row>
      <xdr:rowOff>163830</xdr:rowOff>
    </xdr:from>
    <xdr:to>
      <xdr:col>4</xdr:col>
      <xdr:colOff>2766060</xdr:colOff>
      <xdr:row>147</xdr:row>
      <xdr:rowOff>2404110</xdr:rowOff>
    </xdr:to>
    <xdr:pic>
      <xdr:nvPicPr>
        <xdr:cNvPr id="150" name="图片 14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707720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148</xdr:row>
      <xdr:rowOff>133350</xdr:rowOff>
    </xdr:from>
    <xdr:to>
      <xdr:col>4</xdr:col>
      <xdr:colOff>2766060</xdr:colOff>
      <xdr:row>148</xdr:row>
      <xdr:rowOff>2373630</xdr:rowOff>
    </xdr:to>
    <xdr:pic>
      <xdr:nvPicPr>
        <xdr:cNvPr id="151" name="图片 15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732834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149</xdr:row>
      <xdr:rowOff>260350</xdr:rowOff>
    </xdr:from>
    <xdr:to>
      <xdr:col>4</xdr:col>
      <xdr:colOff>2766060</xdr:colOff>
      <xdr:row>149</xdr:row>
      <xdr:rowOff>2500630</xdr:rowOff>
    </xdr:to>
    <xdr:pic>
      <xdr:nvPicPr>
        <xdr:cNvPr id="152" name="图片 15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75952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150</xdr:row>
      <xdr:rowOff>173990</xdr:rowOff>
    </xdr:from>
    <xdr:to>
      <xdr:col>4</xdr:col>
      <xdr:colOff>2766060</xdr:colOff>
      <xdr:row>150</xdr:row>
      <xdr:rowOff>2414270</xdr:rowOff>
    </xdr:to>
    <xdr:pic>
      <xdr:nvPicPr>
        <xdr:cNvPr id="153" name="图片 15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784079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151</xdr:row>
      <xdr:rowOff>11430</xdr:rowOff>
    </xdr:from>
    <xdr:to>
      <xdr:col>4</xdr:col>
      <xdr:colOff>2766060</xdr:colOff>
      <xdr:row>151</xdr:row>
      <xdr:rowOff>2251710</xdr:rowOff>
    </xdr:to>
    <xdr:pic>
      <xdr:nvPicPr>
        <xdr:cNvPr id="154" name="图片 15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807872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152</xdr:row>
      <xdr:rowOff>72390</xdr:rowOff>
    </xdr:from>
    <xdr:to>
      <xdr:col>4</xdr:col>
      <xdr:colOff>2766060</xdr:colOff>
      <xdr:row>152</xdr:row>
      <xdr:rowOff>2312670</xdr:rowOff>
    </xdr:to>
    <xdr:pic>
      <xdr:nvPicPr>
        <xdr:cNvPr id="155" name="图片 15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833901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153</xdr:row>
      <xdr:rowOff>11430</xdr:rowOff>
    </xdr:from>
    <xdr:to>
      <xdr:col>4</xdr:col>
      <xdr:colOff>2766060</xdr:colOff>
      <xdr:row>153</xdr:row>
      <xdr:rowOff>2251710</xdr:rowOff>
    </xdr:to>
    <xdr:pic>
      <xdr:nvPicPr>
        <xdr:cNvPr id="156" name="图片 15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858710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154</xdr:row>
      <xdr:rowOff>77470</xdr:rowOff>
    </xdr:from>
    <xdr:to>
      <xdr:col>4</xdr:col>
      <xdr:colOff>2766060</xdr:colOff>
      <xdr:row>154</xdr:row>
      <xdr:rowOff>2317750</xdr:rowOff>
    </xdr:to>
    <xdr:pic>
      <xdr:nvPicPr>
        <xdr:cNvPr id="157" name="图片 15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884790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155</xdr:row>
      <xdr:rowOff>204470</xdr:rowOff>
    </xdr:from>
    <xdr:to>
      <xdr:col>4</xdr:col>
      <xdr:colOff>2766060</xdr:colOff>
      <xdr:row>155</xdr:row>
      <xdr:rowOff>2444750</xdr:rowOff>
    </xdr:to>
    <xdr:pic>
      <xdr:nvPicPr>
        <xdr:cNvPr id="158" name="图片 15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911479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156</xdr:row>
      <xdr:rowOff>153670</xdr:rowOff>
    </xdr:from>
    <xdr:to>
      <xdr:col>4</xdr:col>
      <xdr:colOff>2766060</xdr:colOff>
      <xdr:row>156</xdr:row>
      <xdr:rowOff>2393950</xdr:rowOff>
    </xdr:to>
    <xdr:pic>
      <xdr:nvPicPr>
        <xdr:cNvPr id="159" name="图片 15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936390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157</xdr:row>
      <xdr:rowOff>128270</xdr:rowOff>
    </xdr:from>
    <xdr:to>
      <xdr:col>4</xdr:col>
      <xdr:colOff>2766060</xdr:colOff>
      <xdr:row>157</xdr:row>
      <xdr:rowOff>2368550</xdr:rowOff>
    </xdr:to>
    <xdr:pic>
      <xdr:nvPicPr>
        <xdr:cNvPr id="160" name="图片 15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961555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158</xdr:row>
      <xdr:rowOff>224790</xdr:rowOff>
    </xdr:from>
    <xdr:to>
      <xdr:col>4</xdr:col>
      <xdr:colOff>2766060</xdr:colOff>
      <xdr:row>158</xdr:row>
      <xdr:rowOff>2465070</xdr:rowOff>
    </xdr:to>
    <xdr:pic>
      <xdr:nvPicPr>
        <xdr:cNvPr id="161" name="图片 16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987939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142</xdr:row>
      <xdr:rowOff>194310</xdr:rowOff>
    </xdr:from>
    <xdr:to>
      <xdr:col>4</xdr:col>
      <xdr:colOff>2766060</xdr:colOff>
      <xdr:row>142</xdr:row>
      <xdr:rowOff>2434590</xdr:rowOff>
    </xdr:to>
    <xdr:pic>
      <xdr:nvPicPr>
        <xdr:cNvPr id="162" name="图片 16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3580930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159</xdr:row>
      <xdr:rowOff>194310</xdr:rowOff>
    </xdr:from>
    <xdr:to>
      <xdr:col>4</xdr:col>
      <xdr:colOff>2766060</xdr:colOff>
      <xdr:row>159</xdr:row>
      <xdr:rowOff>2434590</xdr:rowOff>
    </xdr:to>
    <xdr:pic>
      <xdr:nvPicPr>
        <xdr:cNvPr id="163" name="图片 16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013053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161</xdr:row>
      <xdr:rowOff>138430</xdr:rowOff>
    </xdr:from>
    <xdr:to>
      <xdr:col>4</xdr:col>
      <xdr:colOff>2766060</xdr:colOff>
      <xdr:row>161</xdr:row>
      <xdr:rowOff>2378710</xdr:rowOff>
    </xdr:to>
    <xdr:pic>
      <xdr:nvPicPr>
        <xdr:cNvPr id="164" name="图片 16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063333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162</xdr:row>
      <xdr:rowOff>41910</xdr:rowOff>
    </xdr:from>
    <xdr:to>
      <xdr:col>4</xdr:col>
      <xdr:colOff>2766060</xdr:colOff>
      <xdr:row>162</xdr:row>
      <xdr:rowOff>2282190</xdr:rowOff>
    </xdr:to>
    <xdr:pic>
      <xdr:nvPicPr>
        <xdr:cNvPr id="165" name="图片 16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087787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163</xdr:row>
      <xdr:rowOff>149860</xdr:rowOff>
    </xdr:from>
    <xdr:to>
      <xdr:col>4</xdr:col>
      <xdr:colOff>2766060</xdr:colOff>
      <xdr:row>163</xdr:row>
      <xdr:rowOff>2390140</xdr:rowOff>
    </xdr:to>
    <xdr:pic>
      <xdr:nvPicPr>
        <xdr:cNvPr id="166" name="图片 16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114285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164</xdr:row>
      <xdr:rowOff>173990</xdr:rowOff>
    </xdr:from>
    <xdr:to>
      <xdr:col>4</xdr:col>
      <xdr:colOff>2766060</xdr:colOff>
      <xdr:row>164</xdr:row>
      <xdr:rowOff>2414270</xdr:rowOff>
    </xdr:to>
    <xdr:pic>
      <xdr:nvPicPr>
        <xdr:cNvPr id="167" name="图片 16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139946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165</xdr:row>
      <xdr:rowOff>198120</xdr:rowOff>
    </xdr:from>
    <xdr:to>
      <xdr:col>4</xdr:col>
      <xdr:colOff>2766060</xdr:colOff>
      <xdr:row>165</xdr:row>
      <xdr:rowOff>2438400</xdr:rowOff>
    </xdr:to>
    <xdr:pic>
      <xdr:nvPicPr>
        <xdr:cNvPr id="168" name="图片 16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165606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166</xdr:row>
      <xdr:rowOff>173990</xdr:rowOff>
    </xdr:from>
    <xdr:to>
      <xdr:col>4</xdr:col>
      <xdr:colOff>2766060</xdr:colOff>
      <xdr:row>166</xdr:row>
      <xdr:rowOff>2414270</xdr:rowOff>
    </xdr:to>
    <xdr:pic>
      <xdr:nvPicPr>
        <xdr:cNvPr id="169" name="图片 16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190784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167</xdr:row>
      <xdr:rowOff>173990</xdr:rowOff>
    </xdr:from>
    <xdr:to>
      <xdr:col>4</xdr:col>
      <xdr:colOff>2766060</xdr:colOff>
      <xdr:row>167</xdr:row>
      <xdr:rowOff>2414270</xdr:rowOff>
    </xdr:to>
    <xdr:pic>
      <xdr:nvPicPr>
        <xdr:cNvPr id="170" name="图片 16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216203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168</xdr:row>
      <xdr:rowOff>173990</xdr:rowOff>
    </xdr:from>
    <xdr:to>
      <xdr:col>4</xdr:col>
      <xdr:colOff>2766060</xdr:colOff>
      <xdr:row>168</xdr:row>
      <xdr:rowOff>2414270</xdr:rowOff>
    </xdr:to>
    <xdr:pic>
      <xdr:nvPicPr>
        <xdr:cNvPr id="171" name="图片 17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241622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169</xdr:row>
      <xdr:rowOff>173990</xdr:rowOff>
    </xdr:from>
    <xdr:to>
      <xdr:col>4</xdr:col>
      <xdr:colOff>2766060</xdr:colOff>
      <xdr:row>169</xdr:row>
      <xdr:rowOff>2414270</xdr:rowOff>
    </xdr:to>
    <xdr:pic>
      <xdr:nvPicPr>
        <xdr:cNvPr id="172" name="图片 17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267041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170</xdr:row>
      <xdr:rowOff>173990</xdr:rowOff>
    </xdr:from>
    <xdr:to>
      <xdr:col>4</xdr:col>
      <xdr:colOff>2766060</xdr:colOff>
      <xdr:row>170</xdr:row>
      <xdr:rowOff>2414270</xdr:rowOff>
    </xdr:to>
    <xdr:pic>
      <xdr:nvPicPr>
        <xdr:cNvPr id="173" name="图片 17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292460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171</xdr:row>
      <xdr:rowOff>173990</xdr:rowOff>
    </xdr:from>
    <xdr:to>
      <xdr:col>4</xdr:col>
      <xdr:colOff>2766060</xdr:colOff>
      <xdr:row>171</xdr:row>
      <xdr:rowOff>2414270</xdr:rowOff>
    </xdr:to>
    <xdr:pic>
      <xdr:nvPicPr>
        <xdr:cNvPr id="174" name="图片 17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317879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160</xdr:row>
      <xdr:rowOff>194310</xdr:rowOff>
    </xdr:from>
    <xdr:to>
      <xdr:col>4</xdr:col>
      <xdr:colOff>2766060</xdr:colOff>
      <xdr:row>160</xdr:row>
      <xdr:rowOff>2434590</xdr:rowOff>
    </xdr:to>
    <xdr:pic>
      <xdr:nvPicPr>
        <xdr:cNvPr id="175" name="图片 17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038473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172</xdr:row>
      <xdr:rowOff>153670</xdr:rowOff>
    </xdr:from>
    <xdr:to>
      <xdr:col>4</xdr:col>
      <xdr:colOff>2766060</xdr:colOff>
      <xdr:row>172</xdr:row>
      <xdr:rowOff>2393950</xdr:rowOff>
    </xdr:to>
    <xdr:pic>
      <xdr:nvPicPr>
        <xdr:cNvPr id="176" name="图片 17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343095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173</xdr:row>
      <xdr:rowOff>128270</xdr:rowOff>
    </xdr:from>
    <xdr:to>
      <xdr:col>4</xdr:col>
      <xdr:colOff>2766060</xdr:colOff>
      <xdr:row>173</xdr:row>
      <xdr:rowOff>2368550</xdr:rowOff>
    </xdr:to>
    <xdr:pic>
      <xdr:nvPicPr>
        <xdr:cNvPr id="177" name="图片 17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368260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174</xdr:row>
      <xdr:rowOff>128270</xdr:rowOff>
    </xdr:from>
    <xdr:to>
      <xdr:col>4</xdr:col>
      <xdr:colOff>2766060</xdr:colOff>
      <xdr:row>174</xdr:row>
      <xdr:rowOff>2368550</xdr:rowOff>
    </xdr:to>
    <xdr:pic>
      <xdr:nvPicPr>
        <xdr:cNvPr id="178" name="图片 17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393679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175</xdr:row>
      <xdr:rowOff>128270</xdr:rowOff>
    </xdr:from>
    <xdr:to>
      <xdr:col>4</xdr:col>
      <xdr:colOff>2766060</xdr:colOff>
      <xdr:row>175</xdr:row>
      <xdr:rowOff>2368550</xdr:rowOff>
    </xdr:to>
    <xdr:pic>
      <xdr:nvPicPr>
        <xdr:cNvPr id="179" name="图片 17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419098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176</xdr:row>
      <xdr:rowOff>133350</xdr:rowOff>
    </xdr:from>
    <xdr:to>
      <xdr:col>4</xdr:col>
      <xdr:colOff>2766060</xdr:colOff>
      <xdr:row>176</xdr:row>
      <xdr:rowOff>2373630</xdr:rowOff>
    </xdr:to>
    <xdr:pic>
      <xdr:nvPicPr>
        <xdr:cNvPr id="181" name="图片 18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444568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177</xdr:row>
      <xdr:rowOff>194310</xdr:rowOff>
    </xdr:from>
    <xdr:to>
      <xdr:col>4</xdr:col>
      <xdr:colOff>2766060</xdr:colOff>
      <xdr:row>177</xdr:row>
      <xdr:rowOff>2434590</xdr:rowOff>
    </xdr:to>
    <xdr:pic>
      <xdr:nvPicPr>
        <xdr:cNvPr id="182" name="图片 18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470596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178</xdr:row>
      <xdr:rowOff>194310</xdr:rowOff>
    </xdr:from>
    <xdr:to>
      <xdr:col>4</xdr:col>
      <xdr:colOff>2766060</xdr:colOff>
      <xdr:row>178</xdr:row>
      <xdr:rowOff>2434590</xdr:rowOff>
    </xdr:to>
    <xdr:pic>
      <xdr:nvPicPr>
        <xdr:cNvPr id="183" name="图片 18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496015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179</xdr:row>
      <xdr:rowOff>102870</xdr:rowOff>
    </xdr:from>
    <xdr:to>
      <xdr:col>4</xdr:col>
      <xdr:colOff>2766060</xdr:colOff>
      <xdr:row>179</xdr:row>
      <xdr:rowOff>2343150</xdr:rowOff>
    </xdr:to>
    <xdr:pic>
      <xdr:nvPicPr>
        <xdr:cNvPr id="184" name="图片 18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520520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180</xdr:row>
      <xdr:rowOff>102870</xdr:rowOff>
    </xdr:from>
    <xdr:to>
      <xdr:col>4</xdr:col>
      <xdr:colOff>2766060</xdr:colOff>
      <xdr:row>180</xdr:row>
      <xdr:rowOff>2343150</xdr:rowOff>
    </xdr:to>
    <xdr:pic>
      <xdr:nvPicPr>
        <xdr:cNvPr id="185" name="图片 18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545939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181</xdr:row>
      <xdr:rowOff>41910</xdr:rowOff>
    </xdr:from>
    <xdr:to>
      <xdr:col>4</xdr:col>
      <xdr:colOff>2766060</xdr:colOff>
      <xdr:row>181</xdr:row>
      <xdr:rowOff>2282190</xdr:rowOff>
    </xdr:to>
    <xdr:pic>
      <xdr:nvPicPr>
        <xdr:cNvPr id="186" name="图片 18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570749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182</xdr:row>
      <xdr:rowOff>111760</xdr:rowOff>
    </xdr:from>
    <xdr:to>
      <xdr:col>4</xdr:col>
      <xdr:colOff>2766060</xdr:colOff>
      <xdr:row>182</xdr:row>
      <xdr:rowOff>2352040</xdr:rowOff>
    </xdr:to>
    <xdr:pic>
      <xdr:nvPicPr>
        <xdr:cNvPr id="187" name="图片 18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596866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183</xdr:row>
      <xdr:rowOff>48260</xdr:rowOff>
    </xdr:from>
    <xdr:to>
      <xdr:col>4</xdr:col>
      <xdr:colOff>2766060</xdr:colOff>
      <xdr:row>183</xdr:row>
      <xdr:rowOff>2288540</xdr:rowOff>
    </xdr:to>
    <xdr:pic>
      <xdr:nvPicPr>
        <xdr:cNvPr id="188" name="图片 18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621650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184</xdr:row>
      <xdr:rowOff>48260</xdr:rowOff>
    </xdr:from>
    <xdr:to>
      <xdr:col>4</xdr:col>
      <xdr:colOff>2766060</xdr:colOff>
      <xdr:row>184</xdr:row>
      <xdr:rowOff>2288540</xdr:rowOff>
    </xdr:to>
    <xdr:pic>
      <xdr:nvPicPr>
        <xdr:cNvPr id="189" name="图片 18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647069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185</xdr:row>
      <xdr:rowOff>48260</xdr:rowOff>
    </xdr:from>
    <xdr:to>
      <xdr:col>4</xdr:col>
      <xdr:colOff>2766060</xdr:colOff>
      <xdr:row>185</xdr:row>
      <xdr:rowOff>2288540</xdr:rowOff>
    </xdr:to>
    <xdr:pic>
      <xdr:nvPicPr>
        <xdr:cNvPr id="190" name="图片 18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672488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186</xdr:row>
      <xdr:rowOff>48260</xdr:rowOff>
    </xdr:from>
    <xdr:to>
      <xdr:col>4</xdr:col>
      <xdr:colOff>2766060</xdr:colOff>
      <xdr:row>186</xdr:row>
      <xdr:rowOff>2288540</xdr:rowOff>
    </xdr:to>
    <xdr:pic>
      <xdr:nvPicPr>
        <xdr:cNvPr id="191" name="图片 19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697907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187</xdr:row>
      <xdr:rowOff>48260</xdr:rowOff>
    </xdr:from>
    <xdr:to>
      <xdr:col>4</xdr:col>
      <xdr:colOff>2766060</xdr:colOff>
      <xdr:row>187</xdr:row>
      <xdr:rowOff>2288540</xdr:rowOff>
    </xdr:to>
    <xdr:pic>
      <xdr:nvPicPr>
        <xdr:cNvPr id="192" name="图片 19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723326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188</xdr:row>
      <xdr:rowOff>48260</xdr:rowOff>
    </xdr:from>
    <xdr:to>
      <xdr:col>4</xdr:col>
      <xdr:colOff>2766060</xdr:colOff>
      <xdr:row>188</xdr:row>
      <xdr:rowOff>2288540</xdr:rowOff>
    </xdr:to>
    <xdr:pic>
      <xdr:nvPicPr>
        <xdr:cNvPr id="193" name="图片 19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748745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189</xdr:row>
      <xdr:rowOff>48260</xdr:rowOff>
    </xdr:from>
    <xdr:to>
      <xdr:col>4</xdr:col>
      <xdr:colOff>2766060</xdr:colOff>
      <xdr:row>189</xdr:row>
      <xdr:rowOff>2288540</xdr:rowOff>
    </xdr:to>
    <xdr:pic>
      <xdr:nvPicPr>
        <xdr:cNvPr id="194" name="图片 19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774164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190</xdr:row>
      <xdr:rowOff>48260</xdr:rowOff>
    </xdr:from>
    <xdr:to>
      <xdr:col>4</xdr:col>
      <xdr:colOff>2766060</xdr:colOff>
      <xdr:row>190</xdr:row>
      <xdr:rowOff>2288540</xdr:rowOff>
    </xdr:to>
    <xdr:pic>
      <xdr:nvPicPr>
        <xdr:cNvPr id="195" name="图片 19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799584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191</xdr:row>
      <xdr:rowOff>26670</xdr:rowOff>
    </xdr:from>
    <xdr:to>
      <xdr:col>4</xdr:col>
      <xdr:colOff>2766060</xdr:colOff>
      <xdr:row>191</xdr:row>
      <xdr:rowOff>2266950</xdr:rowOff>
    </xdr:to>
    <xdr:pic>
      <xdr:nvPicPr>
        <xdr:cNvPr id="196" name="图片 19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824787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193</xdr:row>
      <xdr:rowOff>140970</xdr:rowOff>
    </xdr:from>
    <xdr:to>
      <xdr:col>4</xdr:col>
      <xdr:colOff>2766060</xdr:colOff>
      <xdr:row>193</xdr:row>
      <xdr:rowOff>2381250</xdr:rowOff>
    </xdr:to>
    <xdr:pic>
      <xdr:nvPicPr>
        <xdr:cNvPr id="197" name="图片 19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876768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192</xdr:row>
      <xdr:rowOff>39370</xdr:rowOff>
    </xdr:from>
    <xdr:to>
      <xdr:col>4</xdr:col>
      <xdr:colOff>2766060</xdr:colOff>
      <xdr:row>192</xdr:row>
      <xdr:rowOff>2279650</xdr:rowOff>
    </xdr:to>
    <xdr:pic>
      <xdr:nvPicPr>
        <xdr:cNvPr id="198" name="图片 19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850333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194</xdr:row>
      <xdr:rowOff>133350</xdr:rowOff>
    </xdr:from>
    <xdr:to>
      <xdr:col>4</xdr:col>
      <xdr:colOff>2766060</xdr:colOff>
      <xdr:row>194</xdr:row>
      <xdr:rowOff>2373630</xdr:rowOff>
    </xdr:to>
    <xdr:pic>
      <xdr:nvPicPr>
        <xdr:cNvPr id="200" name="图片 19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902111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195</xdr:row>
      <xdr:rowOff>194310</xdr:rowOff>
    </xdr:from>
    <xdr:to>
      <xdr:col>4</xdr:col>
      <xdr:colOff>2766060</xdr:colOff>
      <xdr:row>195</xdr:row>
      <xdr:rowOff>2434590</xdr:rowOff>
    </xdr:to>
    <xdr:pic>
      <xdr:nvPicPr>
        <xdr:cNvPr id="201" name="图片 20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928139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196</xdr:row>
      <xdr:rowOff>194310</xdr:rowOff>
    </xdr:from>
    <xdr:to>
      <xdr:col>4</xdr:col>
      <xdr:colOff>2766060</xdr:colOff>
      <xdr:row>196</xdr:row>
      <xdr:rowOff>2434590</xdr:rowOff>
    </xdr:to>
    <xdr:pic>
      <xdr:nvPicPr>
        <xdr:cNvPr id="202" name="图片 20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953558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197</xdr:row>
      <xdr:rowOff>102870</xdr:rowOff>
    </xdr:from>
    <xdr:to>
      <xdr:col>4</xdr:col>
      <xdr:colOff>2766060</xdr:colOff>
      <xdr:row>197</xdr:row>
      <xdr:rowOff>2343150</xdr:rowOff>
    </xdr:to>
    <xdr:pic>
      <xdr:nvPicPr>
        <xdr:cNvPr id="203" name="图片 20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4978063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198</xdr:row>
      <xdr:rowOff>102870</xdr:rowOff>
    </xdr:from>
    <xdr:to>
      <xdr:col>4</xdr:col>
      <xdr:colOff>2766060</xdr:colOff>
      <xdr:row>198</xdr:row>
      <xdr:rowOff>2343150</xdr:rowOff>
    </xdr:to>
    <xdr:pic>
      <xdr:nvPicPr>
        <xdr:cNvPr id="204" name="图片 20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003482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199</xdr:row>
      <xdr:rowOff>41910</xdr:rowOff>
    </xdr:from>
    <xdr:to>
      <xdr:col>4</xdr:col>
      <xdr:colOff>2766060</xdr:colOff>
      <xdr:row>199</xdr:row>
      <xdr:rowOff>2282190</xdr:rowOff>
    </xdr:to>
    <xdr:pic>
      <xdr:nvPicPr>
        <xdr:cNvPr id="205" name="图片 20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028291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200</xdr:row>
      <xdr:rowOff>111760</xdr:rowOff>
    </xdr:from>
    <xdr:to>
      <xdr:col>4</xdr:col>
      <xdr:colOff>2766060</xdr:colOff>
      <xdr:row>200</xdr:row>
      <xdr:rowOff>2352040</xdr:rowOff>
    </xdr:to>
    <xdr:pic>
      <xdr:nvPicPr>
        <xdr:cNvPr id="206" name="图片 20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054409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201</xdr:row>
      <xdr:rowOff>48260</xdr:rowOff>
    </xdr:from>
    <xdr:to>
      <xdr:col>4</xdr:col>
      <xdr:colOff>2766060</xdr:colOff>
      <xdr:row>201</xdr:row>
      <xdr:rowOff>2288540</xdr:rowOff>
    </xdr:to>
    <xdr:pic>
      <xdr:nvPicPr>
        <xdr:cNvPr id="207" name="图片 20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079193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202</xdr:row>
      <xdr:rowOff>48260</xdr:rowOff>
    </xdr:from>
    <xdr:to>
      <xdr:col>4</xdr:col>
      <xdr:colOff>2766060</xdr:colOff>
      <xdr:row>202</xdr:row>
      <xdr:rowOff>2288540</xdr:rowOff>
    </xdr:to>
    <xdr:pic>
      <xdr:nvPicPr>
        <xdr:cNvPr id="208" name="图片 20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104612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203</xdr:row>
      <xdr:rowOff>48260</xdr:rowOff>
    </xdr:from>
    <xdr:to>
      <xdr:col>4</xdr:col>
      <xdr:colOff>2766060</xdr:colOff>
      <xdr:row>203</xdr:row>
      <xdr:rowOff>2288540</xdr:rowOff>
    </xdr:to>
    <xdr:pic>
      <xdr:nvPicPr>
        <xdr:cNvPr id="209" name="图片 20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130031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204</xdr:row>
      <xdr:rowOff>48260</xdr:rowOff>
    </xdr:from>
    <xdr:to>
      <xdr:col>4</xdr:col>
      <xdr:colOff>2766060</xdr:colOff>
      <xdr:row>204</xdr:row>
      <xdr:rowOff>2288540</xdr:rowOff>
    </xdr:to>
    <xdr:pic>
      <xdr:nvPicPr>
        <xdr:cNvPr id="210" name="图片 20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155450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205</xdr:row>
      <xdr:rowOff>48260</xdr:rowOff>
    </xdr:from>
    <xdr:to>
      <xdr:col>4</xdr:col>
      <xdr:colOff>2766060</xdr:colOff>
      <xdr:row>205</xdr:row>
      <xdr:rowOff>2288540</xdr:rowOff>
    </xdr:to>
    <xdr:pic>
      <xdr:nvPicPr>
        <xdr:cNvPr id="211" name="图片 21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180869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206</xdr:row>
      <xdr:rowOff>48260</xdr:rowOff>
    </xdr:from>
    <xdr:to>
      <xdr:col>4</xdr:col>
      <xdr:colOff>2766060</xdr:colOff>
      <xdr:row>206</xdr:row>
      <xdr:rowOff>2288540</xdr:rowOff>
    </xdr:to>
    <xdr:pic>
      <xdr:nvPicPr>
        <xdr:cNvPr id="212" name="图片 21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206288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207</xdr:row>
      <xdr:rowOff>48260</xdr:rowOff>
    </xdr:from>
    <xdr:to>
      <xdr:col>4</xdr:col>
      <xdr:colOff>2766060</xdr:colOff>
      <xdr:row>207</xdr:row>
      <xdr:rowOff>2288540</xdr:rowOff>
    </xdr:to>
    <xdr:pic>
      <xdr:nvPicPr>
        <xdr:cNvPr id="213" name="图片 21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231707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208</xdr:row>
      <xdr:rowOff>48260</xdr:rowOff>
    </xdr:from>
    <xdr:to>
      <xdr:col>4</xdr:col>
      <xdr:colOff>2766060</xdr:colOff>
      <xdr:row>208</xdr:row>
      <xdr:rowOff>2288540</xdr:rowOff>
    </xdr:to>
    <xdr:pic>
      <xdr:nvPicPr>
        <xdr:cNvPr id="214" name="图片 21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257126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209</xdr:row>
      <xdr:rowOff>26670</xdr:rowOff>
    </xdr:from>
    <xdr:to>
      <xdr:col>4</xdr:col>
      <xdr:colOff>2766060</xdr:colOff>
      <xdr:row>209</xdr:row>
      <xdr:rowOff>2266950</xdr:rowOff>
    </xdr:to>
    <xdr:pic>
      <xdr:nvPicPr>
        <xdr:cNvPr id="215" name="图片 21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282330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211</xdr:row>
      <xdr:rowOff>140970</xdr:rowOff>
    </xdr:from>
    <xdr:to>
      <xdr:col>4</xdr:col>
      <xdr:colOff>2766060</xdr:colOff>
      <xdr:row>211</xdr:row>
      <xdr:rowOff>2381250</xdr:rowOff>
    </xdr:to>
    <xdr:pic>
      <xdr:nvPicPr>
        <xdr:cNvPr id="216" name="图片 21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334311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210</xdr:row>
      <xdr:rowOff>39370</xdr:rowOff>
    </xdr:from>
    <xdr:to>
      <xdr:col>4</xdr:col>
      <xdr:colOff>2766060</xdr:colOff>
      <xdr:row>210</xdr:row>
      <xdr:rowOff>2279650</xdr:rowOff>
    </xdr:to>
    <xdr:pic>
      <xdr:nvPicPr>
        <xdr:cNvPr id="217" name="图片 21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307876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213</xdr:row>
      <xdr:rowOff>135890</xdr:rowOff>
    </xdr:from>
    <xdr:to>
      <xdr:col>4</xdr:col>
      <xdr:colOff>2766060</xdr:colOff>
      <xdr:row>213</xdr:row>
      <xdr:rowOff>2376170</xdr:rowOff>
    </xdr:to>
    <xdr:pic>
      <xdr:nvPicPr>
        <xdr:cNvPr id="218" name="图片 21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385098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214</xdr:row>
      <xdr:rowOff>135890</xdr:rowOff>
    </xdr:from>
    <xdr:to>
      <xdr:col>4</xdr:col>
      <xdr:colOff>2766060</xdr:colOff>
      <xdr:row>214</xdr:row>
      <xdr:rowOff>2376170</xdr:rowOff>
    </xdr:to>
    <xdr:pic>
      <xdr:nvPicPr>
        <xdr:cNvPr id="219" name="图片 21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410517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215</xdr:row>
      <xdr:rowOff>135890</xdr:rowOff>
    </xdr:from>
    <xdr:to>
      <xdr:col>4</xdr:col>
      <xdr:colOff>2766060</xdr:colOff>
      <xdr:row>215</xdr:row>
      <xdr:rowOff>2376170</xdr:rowOff>
    </xdr:to>
    <xdr:pic>
      <xdr:nvPicPr>
        <xdr:cNvPr id="220" name="图片 21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435936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216</xdr:row>
      <xdr:rowOff>135890</xdr:rowOff>
    </xdr:from>
    <xdr:to>
      <xdr:col>4</xdr:col>
      <xdr:colOff>2766060</xdr:colOff>
      <xdr:row>216</xdr:row>
      <xdr:rowOff>2376170</xdr:rowOff>
    </xdr:to>
    <xdr:pic>
      <xdr:nvPicPr>
        <xdr:cNvPr id="221" name="图片 22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461355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217</xdr:row>
      <xdr:rowOff>135890</xdr:rowOff>
    </xdr:from>
    <xdr:to>
      <xdr:col>4</xdr:col>
      <xdr:colOff>2766060</xdr:colOff>
      <xdr:row>217</xdr:row>
      <xdr:rowOff>2376170</xdr:rowOff>
    </xdr:to>
    <xdr:pic>
      <xdr:nvPicPr>
        <xdr:cNvPr id="222" name="图片 22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486774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218</xdr:row>
      <xdr:rowOff>135890</xdr:rowOff>
    </xdr:from>
    <xdr:to>
      <xdr:col>4</xdr:col>
      <xdr:colOff>2766060</xdr:colOff>
      <xdr:row>218</xdr:row>
      <xdr:rowOff>2376170</xdr:rowOff>
    </xdr:to>
    <xdr:pic>
      <xdr:nvPicPr>
        <xdr:cNvPr id="223" name="图片 22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512193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219</xdr:row>
      <xdr:rowOff>135890</xdr:rowOff>
    </xdr:from>
    <xdr:to>
      <xdr:col>4</xdr:col>
      <xdr:colOff>2766060</xdr:colOff>
      <xdr:row>219</xdr:row>
      <xdr:rowOff>2376170</xdr:rowOff>
    </xdr:to>
    <xdr:pic>
      <xdr:nvPicPr>
        <xdr:cNvPr id="224" name="图片 22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537612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220</xdr:row>
      <xdr:rowOff>135890</xdr:rowOff>
    </xdr:from>
    <xdr:to>
      <xdr:col>4</xdr:col>
      <xdr:colOff>2766060</xdr:colOff>
      <xdr:row>220</xdr:row>
      <xdr:rowOff>2376170</xdr:rowOff>
    </xdr:to>
    <xdr:pic>
      <xdr:nvPicPr>
        <xdr:cNvPr id="225" name="图片 22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563031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221</xdr:row>
      <xdr:rowOff>135890</xdr:rowOff>
    </xdr:from>
    <xdr:to>
      <xdr:col>4</xdr:col>
      <xdr:colOff>2766060</xdr:colOff>
      <xdr:row>221</xdr:row>
      <xdr:rowOff>2376170</xdr:rowOff>
    </xdr:to>
    <xdr:pic>
      <xdr:nvPicPr>
        <xdr:cNvPr id="226" name="图片 22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588450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222</xdr:row>
      <xdr:rowOff>135890</xdr:rowOff>
    </xdr:from>
    <xdr:to>
      <xdr:col>4</xdr:col>
      <xdr:colOff>2766060</xdr:colOff>
      <xdr:row>222</xdr:row>
      <xdr:rowOff>2376170</xdr:rowOff>
    </xdr:to>
    <xdr:pic>
      <xdr:nvPicPr>
        <xdr:cNvPr id="227" name="图片 22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613869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223</xdr:row>
      <xdr:rowOff>135890</xdr:rowOff>
    </xdr:from>
    <xdr:to>
      <xdr:col>4</xdr:col>
      <xdr:colOff>2766060</xdr:colOff>
      <xdr:row>223</xdr:row>
      <xdr:rowOff>2376170</xdr:rowOff>
    </xdr:to>
    <xdr:pic>
      <xdr:nvPicPr>
        <xdr:cNvPr id="228" name="图片 22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639288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224</xdr:row>
      <xdr:rowOff>135890</xdr:rowOff>
    </xdr:from>
    <xdr:to>
      <xdr:col>4</xdr:col>
      <xdr:colOff>2766060</xdr:colOff>
      <xdr:row>224</xdr:row>
      <xdr:rowOff>2376170</xdr:rowOff>
    </xdr:to>
    <xdr:pic>
      <xdr:nvPicPr>
        <xdr:cNvPr id="229" name="图片 22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664708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225</xdr:row>
      <xdr:rowOff>135890</xdr:rowOff>
    </xdr:from>
    <xdr:to>
      <xdr:col>4</xdr:col>
      <xdr:colOff>2766060</xdr:colOff>
      <xdr:row>225</xdr:row>
      <xdr:rowOff>2376170</xdr:rowOff>
    </xdr:to>
    <xdr:pic>
      <xdr:nvPicPr>
        <xdr:cNvPr id="230" name="图片 22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690127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212</xdr:row>
      <xdr:rowOff>160020</xdr:rowOff>
    </xdr:from>
    <xdr:to>
      <xdr:col>4</xdr:col>
      <xdr:colOff>2766060</xdr:colOff>
      <xdr:row>212</xdr:row>
      <xdr:rowOff>2400300</xdr:rowOff>
    </xdr:to>
    <xdr:pic>
      <xdr:nvPicPr>
        <xdr:cNvPr id="231" name="图片 230"/>
        <xdr:cNvPicPr>
          <a:picLocks noChangeAspect="1"/>
        </xdr:cNvPicPr>
      </xdr:nvPicPr>
      <xdr:blipFill>
        <a:blip r:embed="rId2" cstate="print">
          <a:lum bright="24000" contrast="12000"/>
        </a:blip>
        <a:stretch>
          <a:fillRect/>
        </a:stretch>
      </xdr:blipFill>
      <xdr:spPr>
        <a:xfrm>
          <a:off x="10240010" y="5359920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226</xdr:row>
      <xdr:rowOff>133350</xdr:rowOff>
    </xdr:from>
    <xdr:to>
      <xdr:col>4</xdr:col>
      <xdr:colOff>2766060</xdr:colOff>
      <xdr:row>226</xdr:row>
      <xdr:rowOff>2373630</xdr:rowOff>
    </xdr:to>
    <xdr:pic>
      <xdr:nvPicPr>
        <xdr:cNvPr id="233" name="图片 23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715520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227</xdr:row>
      <xdr:rowOff>179070</xdr:rowOff>
    </xdr:from>
    <xdr:to>
      <xdr:col>4</xdr:col>
      <xdr:colOff>2766060</xdr:colOff>
      <xdr:row>227</xdr:row>
      <xdr:rowOff>2419350</xdr:rowOff>
    </xdr:to>
    <xdr:pic>
      <xdr:nvPicPr>
        <xdr:cNvPr id="234" name="图片 23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741396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228</xdr:row>
      <xdr:rowOff>121920</xdr:rowOff>
    </xdr:from>
    <xdr:to>
      <xdr:col>4</xdr:col>
      <xdr:colOff>2766060</xdr:colOff>
      <xdr:row>228</xdr:row>
      <xdr:rowOff>2362200</xdr:rowOff>
    </xdr:to>
    <xdr:pic>
      <xdr:nvPicPr>
        <xdr:cNvPr id="235" name="图片 23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766244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229</xdr:row>
      <xdr:rowOff>160020</xdr:rowOff>
    </xdr:from>
    <xdr:to>
      <xdr:col>4</xdr:col>
      <xdr:colOff>2766060</xdr:colOff>
      <xdr:row>229</xdr:row>
      <xdr:rowOff>2400300</xdr:rowOff>
    </xdr:to>
    <xdr:pic>
      <xdr:nvPicPr>
        <xdr:cNvPr id="236" name="图片 23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792044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230</xdr:row>
      <xdr:rowOff>140970</xdr:rowOff>
    </xdr:from>
    <xdr:to>
      <xdr:col>4</xdr:col>
      <xdr:colOff>2766060</xdr:colOff>
      <xdr:row>230</xdr:row>
      <xdr:rowOff>2381250</xdr:rowOff>
    </xdr:to>
    <xdr:pic>
      <xdr:nvPicPr>
        <xdr:cNvPr id="237" name="图片 23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817273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231</xdr:row>
      <xdr:rowOff>179070</xdr:rowOff>
    </xdr:from>
    <xdr:to>
      <xdr:col>4</xdr:col>
      <xdr:colOff>2766060</xdr:colOff>
      <xdr:row>231</xdr:row>
      <xdr:rowOff>2419350</xdr:rowOff>
    </xdr:to>
    <xdr:pic>
      <xdr:nvPicPr>
        <xdr:cNvPr id="238" name="图片 23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843073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232</xdr:row>
      <xdr:rowOff>102870</xdr:rowOff>
    </xdr:from>
    <xdr:to>
      <xdr:col>4</xdr:col>
      <xdr:colOff>2766060</xdr:colOff>
      <xdr:row>232</xdr:row>
      <xdr:rowOff>2343150</xdr:rowOff>
    </xdr:to>
    <xdr:pic>
      <xdr:nvPicPr>
        <xdr:cNvPr id="239" name="图片 23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867730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233</xdr:row>
      <xdr:rowOff>96520</xdr:rowOff>
    </xdr:from>
    <xdr:to>
      <xdr:col>4</xdr:col>
      <xdr:colOff>2766060</xdr:colOff>
      <xdr:row>233</xdr:row>
      <xdr:rowOff>2336800</xdr:rowOff>
    </xdr:to>
    <xdr:pic>
      <xdr:nvPicPr>
        <xdr:cNvPr id="240" name="图片 23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893085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234</xdr:row>
      <xdr:rowOff>45720</xdr:rowOff>
    </xdr:from>
    <xdr:to>
      <xdr:col>4</xdr:col>
      <xdr:colOff>2766060</xdr:colOff>
      <xdr:row>234</xdr:row>
      <xdr:rowOff>2286000</xdr:rowOff>
    </xdr:to>
    <xdr:pic>
      <xdr:nvPicPr>
        <xdr:cNvPr id="241" name="图片 24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917996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235</xdr:row>
      <xdr:rowOff>198120</xdr:rowOff>
    </xdr:from>
    <xdr:to>
      <xdr:col>4</xdr:col>
      <xdr:colOff>2766060</xdr:colOff>
      <xdr:row>235</xdr:row>
      <xdr:rowOff>2438400</xdr:rowOff>
    </xdr:to>
    <xdr:pic>
      <xdr:nvPicPr>
        <xdr:cNvPr id="242" name="图片 24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944939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236</xdr:row>
      <xdr:rowOff>160020</xdr:rowOff>
    </xdr:from>
    <xdr:to>
      <xdr:col>4</xdr:col>
      <xdr:colOff>2766060</xdr:colOff>
      <xdr:row>236</xdr:row>
      <xdr:rowOff>2400300</xdr:rowOff>
    </xdr:to>
    <xdr:pic>
      <xdr:nvPicPr>
        <xdr:cNvPr id="243" name="图片 24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969977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237</xdr:row>
      <xdr:rowOff>198120</xdr:rowOff>
    </xdr:from>
    <xdr:to>
      <xdr:col>4</xdr:col>
      <xdr:colOff>2766060</xdr:colOff>
      <xdr:row>237</xdr:row>
      <xdr:rowOff>2438400</xdr:rowOff>
    </xdr:to>
    <xdr:pic>
      <xdr:nvPicPr>
        <xdr:cNvPr id="244" name="图片 24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5995777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238</xdr:row>
      <xdr:rowOff>140970</xdr:rowOff>
    </xdr:from>
    <xdr:to>
      <xdr:col>4</xdr:col>
      <xdr:colOff>2766060</xdr:colOff>
      <xdr:row>238</xdr:row>
      <xdr:rowOff>2381250</xdr:rowOff>
    </xdr:to>
    <xdr:pic>
      <xdr:nvPicPr>
        <xdr:cNvPr id="245" name="图片 24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020625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239</xdr:row>
      <xdr:rowOff>121920</xdr:rowOff>
    </xdr:from>
    <xdr:to>
      <xdr:col>4</xdr:col>
      <xdr:colOff>2766060</xdr:colOff>
      <xdr:row>239</xdr:row>
      <xdr:rowOff>2362200</xdr:rowOff>
    </xdr:to>
    <xdr:pic>
      <xdr:nvPicPr>
        <xdr:cNvPr id="246" name="图片 24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045854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240</xdr:row>
      <xdr:rowOff>160020</xdr:rowOff>
    </xdr:from>
    <xdr:to>
      <xdr:col>4</xdr:col>
      <xdr:colOff>2766060</xdr:colOff>
      <xdr:row>240</xdr:row>
      <xdr:rowOff>2400300</xdr:rowOff>
    </xdr:to>
    <xdr:pic>
      <xdr:nvPicPr>
        <xdr:cNvPr id="247" name="图片 24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071654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241</xdr:row>
      <xdr:rowOff>121920</xdr:rowOff>
    </xdr:from>
    <xdr:to>
      <xdr:col>4</xdr:col>
      <xdr:colOff>2766060</xdr:colOff>
      <xdr:row>241</xdr:row>
      <xdr:rowOff>2362200</xdr:rowOff>
    </xdr:to>
    <xdr:pic>
      <xdr:nvPicPr>
        <xdr:cNvPr id="248" name="图片 24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096692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242</xdr:row>
      <xdr:rowOff>163830</xdr:rowOff>
    </xdr:from>
    <xdr:to>
      <xdr:col>4</xdr:col>
      <xdr:colOff>2766060</xdr:colOff>
      <xdr:row>242</xdr:row>
      <xdr:rowOff>2404110</xdr:rowOff>
    </xdr:to>
    <xdr:pic>
      <xdr:nvPicPr>
        <xdr:cNvPr id="249" name="图片 24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122530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243</xdr:row>
      <xdr:rowOff>64770</xdr:rowOff>
    </xdr:from>
    <xdr:to>
      <xdr:col>4</xdr:col>
      <xdr:colOff>2766060</xdr:colOff>
      <xdr:row>243</xdr:row>
      <xdr:rowOff>2305050</xdr:rowOff>
    </xdr:to>
    <xdr:pic>
      <xdr:nvPicPr>
        <xdr:cNvPr id="250" name="图片 24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146958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246</xdr:row>
      <xdr:rowOff>140970</xdr:rowOff>
    </xdr:from>
    <xdr:to>
      <xdr:col>4</xdr:col>
      <xdr:colOff>2766060</xdr:colOff>
      <xdr:row>246</xdr:row>
      <xdr:rowOff>2381250</xdr:rowOff>
    </xdr:to>
    <xdr:pic>
      <xdr:nvPicPr>
        <xdr:cNvPr id="252" name="图片 25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223977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244</xdr:row>
      <xdr:rowOff>209550</xdr:rowOff>
    </xdr:from>
    <xdr:to>
      <xdr:col>4</xdr:col>
      <xdr:colOff>2766060</xdr:colOff>
      <xdr:row>244</xdr:row>
      <xdr:rowOff>2449830</xdr:rowOff>
    </xdr:to>
    <xdr:pic>
      <xdr:nvPicPr>
        <xdr:cNvPr id="253" name="图片 25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173825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245</xdr:row>
      <xdr:rowOff>160020</xdr:rowOff>
    </xdr:from>
    <xdr:to>
      <xdr:col>4</xdr:col>
      <xdr:colOff>2766060</xdr:colOff>
      <xdr:row>245</xdr:row>
      <xdr:rowOff>2400300</xdr:rowOff>
    </xdr:to>
    <xdr:pic>
      <xdr:nvPicPr>
        <xdr:cNvPr id="254" name="图片 25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198749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247</xdr:row>
      <xdr:rowOff>140970</xdr:rowOff>
    </xdr:from>
    <xdr:to>
      <xdr:col>4</xdr:col>
      <xdr:colOff>2766060</xdr:colOff>
      <xdr:row>247</xdr:row>
      <xdr:rowOff>2381250</xdr:rowOff>
    </xdr:to>
    <xdr:pic>
      <xdr:nvPicPr>
        <xdr:cNvPr id="255" name="图片 25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249396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248</xdr:row>
      <xdr:rowOff>140970</xdr:rowOff>
    </xdr:from>
    <xdr:to>
      <xdr:col>4</xdr:col>
      <xdr:colOff>2766060</xdr:colOff>
      <xdr:row>248</xdr:row>
      <xdr:rowOff>2381250</xdr:rowOff>
    </xdr:to>
    <xdr:pic>
      <xdr:nvPicPr>
        <xdr:cNvPr id="256" name="图片 25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274816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249</xdr:row>
      <xdr:rowOff>140970</xdr:rowOff>
    </xdr:from>
    <xdr:to>
      <xdr:col>4</xdr:col>
      <xdr:colOff>2766060</xdr:colOff>
      <xdr:row>249</xdr:row>
      <xdr:rowOff>2381250</xdr:rowOff>
    </xdr:to>
    <xdr:pic>
      <xdr:nvPicPr>
        <xdr:cNvPr id="257" name="图片 25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300235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250</xdr:row>
      <xdr:rowOff>140970</xdr:rowOff>
    </xdr:from>
    <xdr:to>
      <xdr:col>4</xdr:col>
      <xdr:colOff>2766060</xdr:colOff>
      <xdr:row>250</xdr:row>
      <xdr:rowOff>2381250</xdr:rowOff>
    </xdr:to>
    <xdr:pic>
      <xdr:nvPicPr>
        <xdr:cNvPr id="258" name="图片 25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325654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251</xdr:row>
      <xdr:rowOff>140970</xdr:rowOff>
    </xdr:from>
    <xdr:to>
      <xdr:col>4</xdr:col>
      <xdr:colOff>2766060</xdr:colOff>
      <xdr:row>251</xdr:row>
      <xdr:rowOff>2381250</xdr:rowOff>
    </xdr:to>
    <xdr:pic>
      <xdr:nvPicPr>
        <xdr:cNvPr id="259" name="图片 25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351073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252</xdr:row>
      <xdr:rowOff>140970</xdr:rowOff>
    </xdr:from>
    <xdr:to>
      <xdr:col>4</xdr:col>
      <xdr:colOff>2766060</xdr:colOff>
      <xdr:row>252</xdr:row>
      <xdr:rowOff>2381250</xdr:rowOff>
    </xdr:to>
    <xdr:pic>
      <xdr:nvPicPr>
        <xdr:cNvPr id="260" name="图片 25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376492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253</xdr:row>
      <xdr:rowOff>140970</xdr:rowOff>
    </xdr:from>
    <xdr:to>
      <xdr:col>4</xdr:col>
      <xdr:colOff>2766060</xdr:colOff>
      <xdr:row>253</xdr:row>
      <xdr:rowOff>2381250</xdr:rowOff>
    </xdr:to>
    <xdr:pic>
      <xdr:nvPicPr>
        <xdr:cNvPr id="261" name="图片 26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401911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254</xdr:row>
      <xdr:rowOff>140970</xdr:rowOff>
    </xdr:from>
    <xdr:to>
      <xdr:col>4</xdr:col>
      <xdr:colOff>2766060</xdr:colOff>
      <xdr:row>254</xdr:row>
      <xdr:rowOff>2381250</xdr:rowOff>
    </xdr:to>
    <xdr:pic>
      <xdr:nvPicPr>
        <xdr:cNvPr id="262" name="图片 26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427330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255</xdr:row>
      <xdr:rowOff>140970</xdr:rowOff>
    </xdr:from>
    <xdr:to>
      <xdr:col>4</xdr:col>
      <xdr:colOff>2766060</xdr:colOff>
      <xdr:row>255</xdr:row>
      <xdr:rowOff>2381250</xdr:rowOff>
    </xdr:to>
    <xdr:pic>
      <xdr:nvPicPr>
        <xdr:cNvPr id="263" name="图片 26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452749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256</xdr:row>
      <xdr:rowOff>140970</xdr:rowOff>
    </xdr:from>
    <xdr:to>
      <xdr:col>4</xdr:col>
      <xdr:colOff>2766060</xdr:colOff>
      <xdr:row>256</xdr:row>
      <xdr:rowOff>2381250</xdr:rowOff>
    </xdr:to>
    <xdr:pic>
      <xdr:nvPicPr>
        <xdr:cNvPr id="264" name="图片 26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478168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257</xdr:row>
      <xdr:rowOff>140970</xdr:rowOff>
    </xdr:from>
    <xdr:to>
      <xdr:col>4</xdr:col>
      <xdr:colOff>2766060</xdr:colOff>
      <xdr:row>257</xdr:row>
      <xdr:rowOff>2381250</xdr:rowOff>
    </xdr:to>
    <xdr:pic>
      <xdr:nvPicPr>
        <xdr:cNvPr id="265" name="图片 26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503587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258</xdr:row>
      <xdr:rowOff>140970</xdr:rowOff>
    </xdr:from>
    <xdr:to>
      <xdr:col>4</xdr:col>
      <xdr:colOff>2766060</xdr:colOff>
      <xdr:row>258</xdr:row>
      <xdr:rowOff>2381250</xdr:rowOff>
    </xdr:to>
    <xdr:pic>
      <xdr:nvPicPr>
        <xdr:cNvPr id="266" name="图片 26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529006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259</xdr:row>
      <xdr:rowOff>140970</xdr:rowOff>
    </xdr:from>
    <xdr:to>
      <xdr:col>4</xdr:col>
      <xdr:colOff>2766060</xdr:colOff>
      <xdr:row>259</xdr:row>
      <xdr:rowOff>2381250</xdr:rowOff>
    </xdr:to>
    <xdr:pic>
      <xdr:nvPicPr>
        <xdr:cNvPr id="267" name="图片 26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554425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261</xdr:row>
      <xdr:rowOff>140970</xdr:rowOff>
    </xdr:from>
    <xdr:to>
      <xdr:col>4</xdr:col>
      <xdr:colOff>2766060</xdr:colOff>
      <xdr:row>261</xdr:row>
      <xdr:rowOff>2381250</xdr:rowOff>
    </xdr:to>
    <xdr:pic>
      <xdr:nvPicPr>
        <xdr:cNvPr id="268" name="图片 26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605263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262</xdr:row>
      <xdr:rowOff>140970</xdr:rowOff>
    </xdr:from>
    <xdr:to>
      <xdr:col>4</xdr:col>
      <xdr:colOff>2766060</xdr:colOff>
      <xdr:row>262</xdr:row>
      <xdr:rowOff>2381250</xdr:rowOff>
    </xdr:to>
    <xdr:pic>
      <xdr:nvPicPr>
        <xdr:cNvPr id="269" name="图片 26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630682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263</xdr:row>
      <xdr:rowOff>121920</xdr:rowOff>
    </xdr:from>
    <xdr:to>
      <xdr:col>4</xdr:col>
      <xdr:colOff>2766060</xdr:colOff>
      <xdr:row>263</xdr:row>
      <xdr:rowOff>2362200</xdr:rowOff>
    </xdr:to>
    <xdr:pic>
      <xdr:nvPicPr>
        <xdr:cNvPr id="270" name="图片 26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655911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264</xdr:row>
      <xdr:rowOff>160020</xdr:rowOff>
    </xdr:from>
    <xdr:to>
      <xdr:col>4</xdr:col>
      <xdr:colOff>2766060</xdr:colOff>
      <xdr:row>264</xdr:row>
      <xdr:rowOff>2400300</xdr:rowOff>
    </xdr:to>
    <xdr:pic>
      <xdr:nvPicPr>
        <xdr:cNvPr id="271" name="图片 27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681711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265</xdr:row>
      <xdr:rowOff>140970</xdr:rowOff>
    </xdr:from>
    <xdr:to>
      <xdr:col>4</xdr:col>
      <xdr:colOff>2766060</xdr:colOff>
      <xdr:row>265</xdr:row>
      <xdr:rowOff>2381250</xdr:rowOff>
    </xdr:to>
    <xdr:pic>
      <xdr:nvPicPr>
        <xdr:cNvPr id="272" name="图片 27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706939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266</xdr:row>
      <xdr:rowOff>140970</xdr:rowOff>
    </xdr:from>
    <xdr:to>
      <xdr:col>4</xdr:col>
      <xdr:colOff>2766060</xdr:colOff>
      <xdr:row>266</xdr:row>
      <xdr:rowOff>2381250</xdr:rowOff>
    </xdr:to>
    <xdr:pic>
      <xdr:nvPicPr>
        <xdr:cNvPr id="273" name="图片 27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732358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267</xdr:row>
      <xdr:rowOff>140970</xdr:rowOff>
    </xdr:from>
    <xdr:to>
      <xdr:col>4</xdr:col>
      <xdr:colOff>2766060</xdr:colOff>
      <xdr:row>267</xdr:row>
      <xdr:rowOff>2381250</xdr:rowOff>
    </xdr:to>
    <xdr:pic>
      <xdr:nvPicPr>
        <xdr:cNvPr id="274" name="图片 27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757777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268</xdr:row>
      <xdr:rowOff>140970</xdr:rowOff>
    </xdr:from>
    <xdr:to>
      <xdr:col>4</xdr:col>
      <xdr:colOff>2766060</xdr:colOff>
      <xdr:row>268</xdr:row>
      <xdr:rowOff>2381250</xdr:rowOff>
    </xdr:to>
    <xdr:pic>
      <xdr:nvPicPr>
        <xdr:cNvPr id="275" name="图片 27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783197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269</xdr:row>
      <xdr:rowOff>140970</xdr:rowOff>
    </xdr:from>
    <xdr:to>
      <xdr:col>4</xdr:col>
      <xdr:colOff>2766060</xdr:colOff>
      <xdr:row>269</xdr:row>
      <xdr:rowOff>2381250</xdr:rowOff>
    </xdr:to>
    <xdr:pic>
      <xdr:nvPicPr>
        <xdr:cNvPr id="276" name="图片 27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808616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270</xdr:row>
      <xdr:rowOff>140970</xdr:rowOff>
    </xdr:from>
    <xdr:to>
      <xdr:col>4</xdr:col>
      <xdr:colOff>2766060</xdr:colOff>
      <xdr:row>270</xdr:row>
      <xdr:rowOff>2381250</xdr:rowOff>
    </xdr:to>
    <xdr:pic>
      <xdr:nvPicPr>
        <xdr:cNvPr id="277" name="图片 27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834035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271</xdr:row>
      <xdr:rowOff>140970</xdr:rowOff>
    </xdr:from>
    <xdr:to>
      <xdr:col>4</xdr:col>
      <xdr:colOff>2766060</xdr:colOff>
      <xdr:row>271</xdr:row>
      <xdr:rowOff>2381250</xdr:rowOff>
    </xdr:to>
    <xdr:pic>
      <xdr:nvPicPr>
        <xdr:cNvPr id="278" name="图片 27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859454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272</xdr:row>
      <xdr:rowOff>140970</xdr:rowOff>
    </xdr:from>
    <xdr:to>
      <xdr:col>4</xdr:col>
      <xdr:colOff>2766060</xdr:colOff>
      <xdr:row>272</xdr:row>
      <xdr:rowOff>2381250</xdr:rowOff>
    </xdr:to>
    <xdr:pic>
      <xdr:nvPicPr>
        <xdr:cNvPr id="279" name="图片 27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884873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273</xdr:row>
      <xdr:rowOff>140970</xdr:rowOff>
    </xdr:from>
    <xdr:to>
      <xdr:col>4</xdr:col>
      <xdr:colOff>2766060</xdr:colOff>
      <xdr:row>273</xdr:row>
      <xdr:rowOff>2381250</xdr:rowOff>
    </xdr:to>
    <xdr:pic>
      <xdr:nvPicPr>
        <xdr:cNvPr id="280" name="图片 27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910292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274</xdr:row>
      <xdr:rowOff>140970</xdr:rowOff>
    </xdr:from>
    <xdr:to>
      <xdr:col>4</xdr:col>
      <xdr:colOff>2766060</xdr:colOff>
      <xdr:row>274</xdr:row>
      <xdr:rowOff>2381250</xdr:rowOff>
    </xdr:to>
    <xdr:pic>
      <xdr:nvPicPr>
        <xdr:cNvPr id="281" name="图片 28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935711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275</xdr:row>
      <xdr:rowOff>140970</xdr:rowOff>
    </xdr:from>
    <xdr:to>
      <xdr:col>4</xdr:col>
      <xdr:colOff>2766060</xdr:colOff>
      <xdr:row>275</xdr:row>
      <xdr:rowOff>2381250</xdr:rowOff>
    </xdr:to>
    <xdr:pic>
      <xdr:nvPicPr>
        <xdr:cNvPr id="282" name="图片 28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961130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276</xdr:row>
      <xdr:rowOff>140970</xdr:rowOff>
    </xdr:from>
    <xdr:to>
      <xdr:col>4</xdr:col>
      <xdr:colOff>2766060</xdr:colOff>
      <xdr:row>276</xdr:row>
      <xdr:rowOff>2381250</xdr:rowOff>
    </xdr:to>
    <xdr:pic>
      <xdr:nvPicPr>
        <xdr:cNvPr id="283" name="图片 28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986549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277</xdr:row>
      <xdr:rowOff>140970</xdr:rowOff>
    </xdr:from>
    <xdr:to>
      <xdr:col>4</xdr:col>
      <xdr:colOff>2766060</xdr:colOff>
      <xdr:row>277</xdr:row>
      <xdr:rowOff>2381250</xdr:rowOff>
    </xdr:to>
    <xdr:pic>
      <xdr:nvPicPr>
        <xdr:cNvPr id="284" name="图片 28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011968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278</xdr:row>
      <xdr:rowOff>140970</xdr:rowOff>
    </xdr:from>
    <xdr:to>
      <xdr:col>4</xdr:col>
      <xdr:colOff>2766060</xdr:colOff>
      <xdr:row>278</xdr:row>
      <xdr:rowOff>2381250</xdr:rowOff>
    </xdr:to>
    <xdr:pic>
      <xdr:nvPicPr>
        <xdr:cNvPr id="285" name="图片 28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037387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260</xdr:row>
      <xdr:rowOff>140970</xdr:rowOff>
    </xdr:from>
    <xdr:to>
      <xdr:col>4</xdr:col>
      <xdr:colOff>2766060</xdr:colOff>
      <xdr:row>260</xdr:row>
      <xdr:rowOff>2381250</xdr:rowOff>
    </xdr:to>
    <xdr:pic>
      <xdr:nvPicPr>
        <xdr:cNvPr id="286" name="图片 28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6579844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279</xdr:row>
      <xdr:rowOff>57150</xdr:rowOff>
    </xdr:from>
    <xdr:to>
      <xdr:col>4</xdr:col>
      <xdr:colOff>2766060</xdr:colOff>
      <xdr:row>279</xdr:row>
      <xdr:rowOff>2297430</xdr:rowOff>
    </xdr:to>
    <xdr:pic>
      <xdr:nvPicPr>
        <xdr:cNvPr id="297" name="图片 29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061968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280</xdr:row>
      <xdr:rowOff>140970</xdr:rowOff>
    </xdr:from>
    <xdr:to>
      <xdr:col>4</xdr:col>
      <xdr:colOff>2766060</xdr:colOff>
      <xdr:row>280</xdr:row>
      <xdr:rowOff>2381250</xdr:rowOff>
    </xdr:to>
    <xdr:pic>
      <xdr:nvPicPr>
        <xdr:cNvPr id="298" name="图片 29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088225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281</xdr:row>
      <xdr:rowOff>140970</xdr:rowOff>
    </xdr:from>
    <xdr:to>
      <xdr:col>4</xdr:col>
      <xdr:colOff>2766060</xdr:colOff>
      <xdr:row>281</xdr:row>
      <xdr:rowOff>2381250</xdr:rowOff>
    </xdr:to>
    <xdr:pic>
      <xdr:nvPicPr>
        <xdr:cNvPr id="299" name="图片 29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113644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283</xdr:row>
      <xdr:rowOff>140970</xdr:rowOff>
    </xdr:from>
    <xdr:to>
      <xdr:col>4</xdr:col>
      <xdr:colOff>2766060</xdr:colOff>
      <xdr:row>283</xdr:row>
      <xdr:rowOff>2381250</xdr:rowOff>
    </xdr:to>
    <xdr:pic>
      <xdr:nvPicPr>
        <xdr:cNvPr id="300" name="图片 29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164482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284</xdr:row>
      <xdr:rowOff>140970</xdr:rowOff>
    </xdr:from>
    <xdr:to>
      <xdr:col>4</xdr:col>
      <xdr:colOff>2766060</xdr:colOff>
      <xdr:row>284</xdr:row>
      <xdr:rowOff>2381250</xdr:rowOff>
    </xdr:to>
    <xdr:pic>
      <xdr:nvPicPr>
        <xdr:cNvPr id="301" name="图片 30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189901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285</xdr:row>
      <xdr:rowOff>140970</xdr:rowOff>
    </xdr:from>
    <xdr:to>
      <xdr:col>4</xdr:col>
      <xdr:colOff>2766060</xdr:colOff>
      <xdr:row>285</xdr:row>
      <xdr:rowOff>2381250</xdr:rowOff>
    </xdr:to>
    <xdr:pic>
      <xdr:nvPicPr>
        <xdr:cNvPr id="302" name="图片 30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215320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286</xdr:row>
      <xdr:rowOff>140970</xdr:rowOff>
    </xdr:from>
    <xdr:to>
      <xdr:col>4</xdr:col>
      <xdr:colOff>2766060</xdr:colOff>
      <xdr:row>286</xdr:row>
      <xdr:rowOff>2381250</xdr:rowOff>
    </xdr:to>
    <xdr:pic>
      <xdr:nvPicPr>
        <xdr:cNvPr id="303" name="图片 30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240739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287</xdr:row>
      <xdr:rowOff>140970</xdr:rowOff>
    </xdr:from>
    <xdr:to>
      <xdr:col>4</xdr:col>
      <xdr:colOff>2766060</xdr:colOff>
      <xdr:row>287</xdr:row>
      <xdr:rowOff>2381250</xdr:rowOff>
    </xdr:to>
    <xdr:pic>
      <xdr:nvPicPr>
        <xdr:cNvPr id="304" name="图片 30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266158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288</xdr:row>
      <xdr:rowOff>140970</xdr:rowOff>
    </xdr:from>
    <xdr:to>
      <xdr:col>4</xdr:col>
      <xdr:colOff>2766060</xdr:colOff>
      <xdr:row>288</xdr:row>
      <xdr:rowOff>2381250</xdr:rowOff>
    </xdr:to>
    <xdr:pic>
      <xdr:nvPicPr>
        <xdr:cNvPr id="305" name="图片 30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291578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289</xdr:row>
      <xdr:rowOff>140970</xdr:rowOff>
    </xdr:from>
    <xdr:to>
      <xdr:col>4</xdr:col>
      <xdr:colOff>2766060</xdr:colOff>
      <xdr:row>289</xdr:row>
      <xdr:rowOff>2381250</xdr:rowOff>
    </xdr:to>
    <xdr:pic>
      <xdr:nvPicPr>
        <xdr:cNvPr id="306" name="图片 30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316997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290</xdr:row>
      <xdr:rowOff>140970</xdr:rowOff>
    </xdr:from>
    <xdr:to>
      <xdr:col>4</xdr:col>
      <xdr:colOff>2766060</xdr:colOff>
      <xdr:row>290</xdr:row>
      <xdr:rowOff>2381250</xdr:rowOff>
    </xdr:to>
    <xdr:pic>
      <xdr:nvPicPr>
        <xdr:cNvPr id="307" name="图片 30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342416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291</xdr:row>
      <xdr:rowOff>140970</xdr:rowOff>
    </xdr:from>
    <xdr:to>
      <xdr:col>4</xdr:col>
      <xdr:colOff>2766060</xdr:colOff>
      <xdr:row>291</xdr:row>
      <xdr:rowOff>2381250</xdr:rowOff>
    </xdr:to>
    <xdr:pic>
      <xdr:nvPicPr>
        <xdr:cNvPr id="308" name="图片 30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367835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292</xdr:row>
      <xdr:rowOff>140970</xdr:rowOff>
    </xdr:from>
    <xdr:to>
      <xdr:col>4</xdr:col>
      <xdr:colOff>2766060</xdr:colOff>
      <xdr:row>292</xdr:row>
      <xdr:rowOff>2381250</xdr:rowOff>
    </xdr:to>
    <xdr:pic>
      <xdr:nvPicPr>
        <xdr:cNvPr id="309" name="图片 30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393254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299</xdr:row>
      <xdr:rowOff>140970</xdr:rowOff>
    </xdr:from>
    <xdr:to>
      <xdr:col>4</xdr:col>
      <xdr:colOff>2766060</xdr:colOff>
      <xdr:row>299</xdr:row>
      <xdr:rowOff>2381250</xdr:rowOff>
    </xdr:to>
    <xdr:pic>
      <xdr:nvPicPr>
        <xdr:cNvPr id="310" name="图片 30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571187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300</xdr:row>
      <xdr:rowOff>140970</xdr:rowOff>
    </xdr:from>
    <xdr:to>
      <xdr:col>4</xdr:col>
      <xdr:colOff>2766060</xdr:colOff>
      <xdr:row>300</xdr:row>
      <xdr:rowOff>2381250</xdr:rowOff>
    </xdr:to>
    <xdr:pic>
      <xdr:nvPicPr>
        <xdr:cNvPr id="311" name="图片 31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596606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301</xdr:row>
      <xdr:rowOff>140970</xdr:rowOff>
    </xdr:from>
    <xdr:to>
      <xdr:col>4</xdr:col>
      <xdr:colOff>2766060</xdr:colOff>
      <xdr:row>301</xdr:row>
      <xdr:rowOff>2381250</xdr:rowOff>
    </xdr:to>
    <xdr:pic>
      <xdr:nvPicPr>
        <xdr:cNvPr id="312" name="图片 31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622025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302</xdr:row>
      <xdr:rowOff>140970</xdr:rowOff>
    </xdr:from>
    <xdr:to>
      <xdr:col>4</xdr:col>
      <xdr:colOff>2766060</xdr:colOff>
      <xdr:row>302</xdr:row>
      <xdr:rowOff>2381250</xdr:rowOff>
    </xdr:to>
    <xdr:pic>
      <xdr:nvPicPr>
        <xdr:cNvPr id="313" name="图片 31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647444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303</xdr:row>
      <xdr:rowOff>140970</xdr:rowOff>
    </xdr:from>
    <xdr:to>
      <xdr:col>4</xdr:col>
      <xdr:colOff>2766060</xdr:colOff>
      <xdr:row>303</xdr:row>
      <xdr:rowOff>2381250</xdr:rowOff>
    </xdr:to>
    <xdr:pic>
      <xdr:nvPicPr>
        <xdr:cNvPr id="314" name="图片 31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672863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304</xdr:row>
      <xdr:rowOff>140970</xdr:rowOff>
    </xdr:from>
    <xdr:to>
      <xdr:col>4</xdr:col>
      <xdr:colOff>2766060</xdr:colOff>
      <xdr:row>304</xdr:row>
      <xdr:rowOff>2381250</xdr:rowOff>
    </xdr:to>
    <xdr:pic>
      <xdr:nvPicPr>
        <xdr:cNvPr id="315" name="图片 31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698282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305</xdr:row>
      <xdr:rowOff>140970</xdr:rowOff>
    </xdr:from>
    <xdr:to>
      <xdr:col>4</xdr:col>
      <xdr:colOff>2766060</xdr:colOff>
      <xdr:row>305</xdr:row>
      <xdr:rowOff>2381250</xdr:rowOff>
    </xdr:to>
    <xdr:pic>
      <xdr:nvPicPr>
        <xdr:cNvPr id="316" name="图片 31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723701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306</xdr:row>
      <xdr:rowOff>140970</xdr:rowOff>
    </xdr:from>
    <xdr:to>
      <xdr:col>4</xdr:col>
      <xdr:colOff>2766060</xdr:colOff>
      <xdr:row>306</xdr:row>
      <xdr:rowOff>2381250</xdr:rowOff>
    </xdr:to>
    <xdr:pic>
      <xdr:nvPicPr>
        <xdr:cNvPr id="317" name="图片 31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749120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307</xdr:row>
      <xdr:rowOff>140970</xdr:rowOff>
    </xdr:from>
    <xdr:to>
      <xdr:col>4</xdr:col>
      <xdr:colOff>2766060</xdr:colOff>
      <xdr:row>307</xdr:row>
      <xdr:rowOff>2381250</xdr:rowOff>
    </xdr:to>
    <xdr:pic>
      <xdr:nvPicPr>
        <xdr:cNvPr id="318" name="图片 31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774539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308</xdr:row>
      <xdr:rowOff>140970</xdr:rowOff>
    </xdr:from>
    <xdr:to>
      <xdr:col>4</xdr:col>
      <xdr:colOff>2766060</xdr:colOff>
      <xdr:row>308</xdr:row>
      <xdr:rowOff>2381250</xdr:rowOff>
    </xdr:to>
    <xdr:pic>
      <xdr:nvPicPr>
        <xdr:cNvPr id="319" name="图片 31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799959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298</xdr:row>
      <xdr:rowOff>140970</xdr:rowOff>
    </xdr:from>
    <xdr:to>
      <xdr:col>4</xdr:col>
      <xdr:colOff>2766060</xdr:colOff>
      <xdr:row>298</xdr:row>
      <xdr:rowOff>2381250</xdr:rowOff>
    </xdr:to>
    <xdr:pic>
      <xdr:nvPicPr>
        <xdr:cNvPr id="320" name="图片 31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545768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297</xdr:row>
      <xdr:rowOff>140970</xdr:rowOff>
    </xdr:from>
    <xdr:to>
      <xdr:col>4</xdr:col>
      <xdr:colOff>2766060</xdr:colOff>
      <xdr:row>297</xdr:row>
      <xdr:rowOff>2381250</xdr:rowOff>
    </xdr:to>
    <xdr:pic>
      <xdr:nvPicPr>
        <xdr:cNvPr id="321" name="图片 32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520349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296</xdr:row>
      <xdr:rowOff>140970</xdr:rowOff>
    </xdr:from>
    <xdr:to>
      <xdr:col>4</xdr:col>
      <xdr:colOff>2766060</xdr:colOff>
      <xdr:row>296</xdr:row>
      <xdr:rowOff>2381250</xdr:rowOff>
    </xdr:to>
    <xdr:pic>
      <xdr:nvPicPr>
        <xdr:cNvPr id="322" name="图片 32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494930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295</xdr:row>
      <xdr:rowOff>140970</xdr:rowOff>
    </xdr:from>
    <xdr:to>
      <xdr:col>4</xdr:col>
      <xdr:colOff>2766060</xdr:colOff>
      <xdr:row>295</xdr:row>
      <xdr:rowOff>2381250</xdr:rowOff>
    </xdr:to>
    <xdr:pic>
      <xdr:nvPicPr>
        <xdr:cNvPr id="323" name="图片 32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469511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294</xdr:row>
      <xdr:rowOff>140970</xdr:rowOff>
    </xdr:from>
    <xdr:to>
      <xdr:col>4</xdr:col>
      <xdr:colOff>2766060</xdr:colOff>
      <xdr:row>294</xdr:row>
      <xdr:rowOff>2381250</xdr:rowOff>
    </xdr:to>
    <xdr:pic>
      <xdr:nvPicPr>
        <xdr:cNvPr id="324" name="图片 32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444092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293</xdr:row>
      <xdr:rowOff>140970</xdr:rowOff>
    </xdr:from>
    <xdr:to>
      <xdr:col>4</xdr:col>
      <xdr:colOff>2766060</xdr:colOff>
      <xdr:row>293</xdr:row>
      <xdr:rowOff>2381250</xdr:rowOff>
    </xdr:to>
    <xdr:pic>
      <xdr:nvPicPr>
        <xdr:cNvPr id="325" name="图片 32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418673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282</xdr:row>
      <xdr:rowOff>140970</xdr:rowOff>
    </xdr:from>
    <xdr:to>
      <xdr:col>4</xdr:col>
      <xdr:colOff>2766060</xdr:colOff>
      <xdr:row>282</xdr:row>
      <xdr:rowOff>2381250</xdr:rowOff>
    </xdr:to>
    <xdr:pic>
      <xdr:nvPicPr>
        <xdr:cNvPr id="326" name="图片 32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139063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309</xdr:row>
      <xdr:rowOff>140970</xdr:rowOff>
    </xdr:from>
    <xdr:to>
      <xdr:col>4</xdr:col>
      <xdr:colOff>2766060</xdr:colOff>
      <xdr:row>309</xdr:row>
      <xdr:rowOff>2381250</xdr:rowOff>
    </xdr:to>
    <xdr:pic>
      <xdr:nvPicPr>
        <xdr:cNvPr id="328" name="图片 32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825378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310</xdr:row>
      <xdr:rowOff>140970</xdr:rowOff>
    </xdr:from>
    <xdr:to>
      <xdr:col>4</xdr:col>
      <xdr:colOff>2766060</xdr:colOff>
      <xdr:row>310</xdr:row>
      <xdr:rowOff>2381250</xdr:rowOff>
    </xdr:to>
    <xdr:pic>
      <xdr:nvPicPr>
        <xdr:cNvPr id="329" name="图片 32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850797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655320</xdr:colOff>
      <xdr:row>311</xdr:row>
      <xdr:rowOff>140970</xdr:rowOff>
    </xdr:from>
    <xdr:to>
      <xdr:col>4</xdr:col>
      <xdr:colOff>3142615</xdr:colOff>
      <xdr:row>311</xdr:row>
      <xdr:rowOff>3355975</xdr:rowOff>
    </xdr:to>
    <xdr:pic>
      <xdr:nvPicPr>
        <xdr:cNvPr id="330" name="图片 32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9862820" y="787621615"/>
          <a:ext cx="2487295" cy="321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312</xdr:row>
      <xdr:rowOff>140970</xdr:rowOff>
    </xdr:from>
    <xdr:to>
      <xdr:col>4</xdr:col>
      <xdr:colOff>2766060</xdr:colOff>
      <xdr:row>312</xdr:row>
      <xdr:rowOff>2381250</xdr:rowOff>
    </xdr:to>
    <xdr:pic>
      <xdr:nvPicPr>
        <xdr:cNvPr id="331" name="图片 33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913173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313</xdr:row>
      <xdr:rowOff>140970</xdr:rowOff>
    </xdr:from>
    <xdr:to>
      <xdr:col>4</xdr:col>
      <xdr:colOff>2766060</xdr:colOff>
      <xdr:row>313</xdr:row>
      <xdr:rowOff>2381250</xdr:rowOff>
    </xdr:to>
    <xdr:pic>
      <xdr:nvPicPr>
        <xdr:cNvPr id="332" name="图片 33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938592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314</xdr:row>
      <xdr:rowOff>140970</xdr:rowOff>
    </xdr:from>
    <xdr:to>
      <xdr:col>4</xdr:col>
      <xdr:colOff>2766060</xdr:colOff>
      <xdr:row>314</xdr:row>
      <xdr:rowOff>2381250</xdr:rowOff>
    </xdr:to>
    <xdr:pic>
      <xdr:nvPicPr>
        <xdr:cNvPr id="333" name="图片 33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964011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315</xdr:row>
      <xdr:rowOff>140970</xdr:rowOff>
    </xdr:from>
    <xdr:to>
      <xdr:col>4</xdr:col>
      <xdr:colOff>2766060</xdr:colOff>
      <xdr:row>315</xdr:row>
      <xdr:rowOff>2381250</xdr:rowOff>
    </xdr:to>
    <xdr:pic>
      <xdr:nvPicPr>
        <xdr:cNvPr id="334" name="图片 33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7989430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316</xdr:row>
      <xdr:rowOff>140970</xdr:rowOff>
    </xdr:from>
    <xdr:to>
      <xdr:col>4</xdr:col>
      <xdr:colOff>2766060</xdr:colOff>
      <xdr:row>316</xdr:row>
      <xdr:rowOff>2381250</xdr:rowOff>
    </xdr:to>
    <xdr:pic>
      <xdr:nvPicPr>
        <xdr:cNvPr id="335" name="图片 33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014849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317</xdr:row>
      <xdr:rowOff>140970</xdr:rowOff>
    </xdr:from>
    <xdr:to>
      <xdr:col>4</xdr:col>
      <xdr:colOff>2766060</xdr:colOff>
      <xdr:row>317</xdr:row>
      <xdr:rowOff>2381250</xdr:rowOff>
    </xdr:to>
    <xdr:pic>
      <xdr:nvPicPr>
        <xdr:cNvPr id="336" name="图片 33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040268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318</xdr:row>
      <xdr:rowOff>140970</xdr:rowOff>
    </xdr:from>
    <xdr:to>
      <xdr:col>4</xdr:col>
      <xdr:colOff>2766060</xdr:colOff>
      <xdr:row>318</xdr:row>
      <xdr:rowOff>2381250</xdr:rowOff>
    </xdr:to>
    <xdr:pic>
      <xdr:nvPicPr>
        <xdr:cNvPr id="337" name="图片 33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065687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319</xdr:row>
      <xdr:rowOff>140970</xdr:rowOff>
    </xdr:from>
    <xdr:to>
      <xdr:col>4</xdr:col>
      <xdr:colOff>2766060</xdr:colOff>
      <xdr:row>319</xdr:row>
      <xdr:rowOff>2381250</xdr:rowOff>
    </xdr:to>
    <xdr:pic>
      <xdr:nvPicPr>
        <xdr:cNvPr id="338" name="图片 33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091106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320</xdr:row>
      <xdr:rowOff>140970</xdr:rowOff>
    </xdr:from>
    <xdr:to>
      <xdr:col>4</xdr:col>
      <xdr:colOff>2766060</xdr:colOff>
      <xdr:row>320</xdr:row>
      <xdr:rowOff>2381250</xdr:rowOff>
    </xdr:to>
    <xdr:pic>
      <xdr:nvPicPr>
        <xdr:cNvPr id="339" name="图片 33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116525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321</xdr:row>
      <xdr:rowOff>140970</xdr:rowOff>
    </xdr:from>
    <xdr:to>
      <xdr:col>4</xdr:col>
      <xdr:colOff>2766060</xdr:colOff>
      <xdr:row>321</xdr:row>
      <xdr:rowOff>2381250</xdr:rowOff>
    </xdr:to>
    <xdr:pic>
      <xdr:nvPicPr>
        <xdr:cNvPr id="340" name="图片 33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141944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322</xdr:row>
      <xdr:rowOff>140970</xdr:rowOff>
    </xdr:from>
    <xdr:to>
      <xdr:col>4</xdr:col>
      <xdr:colOff>2766060</xdr:colOff>
      <xdr:row>322</xdr:row>
      <xdr:rowOff>2381250</xdr:rowOff>
    </xdr:to>
    <xdr:pic>
      <xdr:nvPicPr>
        <xdr:cNvPr id="341" name="图片 34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167363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323</xdr:row>
      <xdr:rowOff>140970</xdr:rowOff>
    </xdr:from>
    <xdr:to>
      <xdr:col>4</xdr:col>
      <xdr:colOff>2766060</xdr:colOff>
      <xdr:row>323</xdr:row>
      <xdr:rowOff>2381250</xdr:rowOff>
    </xdr:to>
    <xdr:pic>
      <xdr:nvPicPr>
        <xdr:cNvPr id="342" name="图片 34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192782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324</xdr:row>
      <xdr:rowOff>140970</xdr:rowOff>
    </xdr:from>
    <xdr:to>
      <xdr:col>4</xdr:col>
      <xdr:colOff>2766060</xdr:colOff>
      <xdr:row>324</xdr:row>
      <xdr:rowOff>2381250</xdr:rowOff>
    </xdr:to>
    <xdr:pic>
      <xdr:nvPicPr>
        <xdr:cNvPr id="343" name="图片 34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218201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325</xdr:row>
      <xdr:rowOff>140970</xdr:rowOff>
    </xdr:from>
    <xdr:to>
      <xdr:col>4</xdr:col>
      <xdr:colOff>2766060</xdr:colOff>
      <xdr:row>325</xdr:row>
      <xdr:rowOff>2381250</xdr:rowOff>
    </xdr:to>
    <xdr:pic>
      <xdr:nvPicPr>
        <xdr:cNvPr id="344" name="图片 34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243620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326</xdr:row>
      <xdr:rowOff>140970</xdr:rowOff>
    </xdr:from>
    <xdr:to>
      <xdr:col>4</xdr:col>
      <xdr:colOff>2766060</xdr:colOff>
      <xdr:row>326</xdr:row>
      <xdr:rowOff>2381250</xdr:rowOff>
    </xdr:to>
    <xdr:pic>
      <xdr:nvPicPr>
        <xdr:cNvPr id="345" name="图片 34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269039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327</xdr:row>
      <xdr:rowOff>140970</xdr:rowOff>
    </xdr:from>
    <xdr:to>
      <xdr:col>4</xdr:col>
      <xdr:colOff>2766060</xdr:colOff>
      <xdr:row>327</xdr:row>
      <xdr:rowOff>2381250</xdr:rowOff>
    </xdr:to>
    <xdr:pic>
      <xdr:nvPicPr>
        <xdr:cNvPr id="346" name="图片 34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294458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328</xdr:row>
      <xdr:rowOff>140970</xdr:rowOff>
    </xdr:from>
    <xdr:to>
      <xdr:col>4</xdr:col>
      <xdr:colOff>2766060</xdr:colOff>
      <xdr:row>328</xdr:row>
      <xdr:rowOff>2381250</xdr:rowOff>
    </xdr:to>
    <xdr:pic>
      <xdr:nvPicPr>
        <xdr:cNvPr id="347" name="图片 34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319877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329</xdr:row>
      <xdr:rowOff>140970</xdr:rowOff>
    </xdr:from>
    <xdr:to>
      <xdr:col>4</xdr:col>
      <xdr:colOff>2766060</xdr:colOff>
      <xdr:row>329</xdr:row>
      <xdr:rowOff>2381250</xdr:rowOff>
    </xdr:to>
    <xdr:pic>
      <xdr:nvPicPr>
        <xdr:cNvPr id="348" name="图片 34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345297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330</xdr:row>
      <xdr:rowOff>140970</xdr:rowOff>
    </xdr:from>
    <xdr:to>
      <xdr:col>4</xdr:col>
      <xdr:colOff>2766060</xdr:colOff>
      <xdr:row>330</xdr:row>
      <xdr:rowOff>2381250</xdr:rowOff>
    </xdr:to>
    <xdr:pic>
      <xdr:nvPicPr>
        <xdr:cNvPr id="349" name="图片 34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370716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331</xdr:row>
      <xdr:rowOff>140970</xdr:rowOff>
    </xdr:from>
    <xdr:to>
      <xdr:col>4</xdr:col>
      <xdr:colOff>2766060</xdr:colOff>
      <xdr:row>331</xdr:row>
      <xdr:rowOff>2381250</xdr:rowOff>
    </xdr:to>
    <xdr:pic>
      <xdr:nvPicPr>
        <xdr:cNvPr id="350" name="图片 34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396135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332</xdr:row>
      <xdr:rowOff>140970</xdr:rowOff>
    </xdr:from>
    <xdr:to>
      <xdr:col>4</xdr:col>
      <xdr:colOff>2766060</xdr:colOff>
      <xdr:row>332</xdr:row>
      <xdr:rowOff>2381250</xdr:rowOff>
    </xdr:to>
    <xdr:pic>
      <xdr:nvPicPr>
        <xdr:cNvPr id="351" name="图片 35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421554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333</xdr:row>
      <xdr:rowOff>140970</xdr:rowOff>
    </xdr:from>
    <xdr:to>
      <xdr:col>4</xdr:col>
      <xdr:colOff>2766060</xdr:colOff>
      <xdr:row>333</xdr:row>
      <xdr:rowOff>2381250</xdr:rowOff>
    </xdr:to>
    <xdr:pic>
      <xdr:nvPicPr>
        <xdr:cNvPr id="352" name="图片 35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446973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334</xdr:row>
      <xdr:rowOff>140970</xdr:rowOff>
    </xdr:from>
    <xdr:to>
      <xdr:col>4</xdr:col>
      <xdr:colOff>2766060</xdr:colOff>
      <xdr:row>334</xdr:row>
      <xdr:rowOff>2381250</xdr:rowOff>
    </xdr:to>
    <xdr:pic>
      <xdr:nvPicPr>
        <xdr:cNvPr id="353" name="图片 35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472392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335</xdr:row>
      <xdr:rowOff>140970</xdr:rowOff>
    </xdr:from>
    <xdr:to>
      <xdr:col>4</xdr:col>
      <xdr:colOff>2766060</xdr:colOff>
      <xdr:row>335</xdr:row>
      <xdr:rowOff>2381250</xdr:rowOff>
    </xdr:to>
    <xdr:pic>
      <xdr:nvPicPr>
        <xdr:cNvPr id="354" name="图片 35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497811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336</xdr:row>
      <xdr:rowOff>140970</xdr:rowOff>
    </xdr:from>
    <xdr:to>
      <xdr:col>4</xdr:col>
      <xdr:colOff>2766060</xdr:colOff>
      <xdr:row>336</xdr:row>
      <xdr:rowOff>2381250</xdr:rowOff>
    </xdr:to>
    <xdr:pic>
      <xdr:nvPicPr>
        <xdr:cNvPr id="355" name="图片 35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523230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337</xdr:row>
      <xdr:rowOff>140970</xdr:rowOff>
    </xdr:from>
    <xdr:to>
      <xdr:col>4</xdr:col>
      <xdr:colOff>2766060</xdr:colOff>
      <xdr:row>337</xdr:row>
      <xdr:rowOff>2381250</xdr:rowOff>
    </xdr:to>
    <xdr:pic>
      <xdr:nvPicPr>
        <xdr:cNvPr id="370" name="图片 36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548649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338</xdr:row>
      <xdr:rowOff>140970</xdr:rowOff>
    </xdr:from>
    <xdr:to>
      <xdr:col>4</xdr:col>
      <xdr:colOff>2766060</xdr:colOff>
      <xdr:row>338</xdr:row>
      <xdr:rowOff>2381250</xdr:rowOff>
    </xdr:to>
    <xdr:pic>
      <xdr:nvPicPr>
        <xdr:cNvPr id="371" name="图片 37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574068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339</xdr:row>
      <xdr:rowOff>140970</xdr:rowOff>
    </xdr:from>
    <xdr:to>
      <xdr:col>4</xdr:col>
      <xdr:colOff>2766060</xdr:colOff>
      <xdr:row>339</xdr:row>
      <xdr:rowOff>2381250</xdr:rowOff>
    </xdr:to>
    <xdr:pic>
      <xdr:nvPicPr>
        <xdr:cNvPr id="372" name="图片 37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599487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678815</xdr:colOff>
      <xdr:row>340</xdr:row>
      <xdr:rowOff>140970</xdr:rowOff>
    </xdr:from>
    <xdr:to>
      <xdr:col>4</xdr:col>
      <xdr:colOff>3119755</xdr:colOff>
      <xdr:row>340</xdr:row>
      <xdr:rowOff>3295650</xdr:rowOff>
    </xdr:to>
    <xdr:pic>
      <xdr:nvPicPr>
        <xdr:cNvPr id="373" name="图片 37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9886315" y="862490655"/>
          <a:ext cx="2440940" cy="315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341</xdr:row>
      <xdr:rowOff>140970</xdr:rowOff>
    </xdr:from>
    <xdr:to>
      <xdr:col>4</xdr:col>
      <xdr:colOff>2766060</xdr:colOff>
      <xdr:row>341</xdr:row>
      <xdr:rowOff>2381250</xdr:rowOff>
    </xdr:to>
    <xdr:pic>
      <xdr:nvPicPr>
        <xdr:cNvPr id="374" name="图片 37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661482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342</xdr:row>
      <xdr:rowOff>140970</xdr:rowOff>
    </xdr:from>
    <xdr:to>
      <xdr:col>4</xdr:col>
      <xdr:colOff>2766060</xdr:colOff>
      <xdr:row>342</xdr:row>
      <xdr:rowOff>2381250</xdr:rowOff>
    </xdr:to>
    <xdr:pic>
      <xdr:nvPicPr>
        <xdr:cNvPr id="375" name="图片 37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686901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343</xdr:row>
      <xdr:rowOff>140970</xdr:rowOff>
    </xdr:from>
    <xdr:to>
      <xdr:col>4</xdr:col>
      <xdr:colOff>2766060</xdr:colOff>
      <xdr:row>343</xdr:row>
      <xdr:rowOff>2381250</xdr:rowOff>
    </xdr:to>
    <xdr:pic>
      <xdr:nvPicPr>
        <xdr:cNvPr id="376" name="图片 37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712320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344</xdr:row>
      <xdr:rowOff>140970</xdr:rowOff>
    </xdr:from>
    <xdr:to>
      <xdr:col>4</xdr:col>
      <xdr:colOff>2766060</xdr:colOff>
      <xdr:row>344</xdr:row>
      <xdr:rowOff>2381250</xdr:rowOff>
    </xdr:to>
    <xdr:pic>
      <xdr:nvPicPr>
        <xdr:cNvPr id="377" name="图片 37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737739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345</xdr:row>
      <xdr:rowOff>140970</xdr:rowOff>
    </xdr:from>
    <xdr:to>
      <xdr:col>4</xdr:col>
      <xdr:colOff>2766060</xdr:colOff>
      <xdr:row>345</xdr:row>
      <xdr:rowOff>2381250</xdr:rowOff>
    </xdr:to>
    <xdr:pic>
      <xdr:nvPicPr>
        <xdr:cNvPr id="378" name="图片 37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763158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346</xdr:row>
      <xdr:rowOff>140970</xdr:rowOff>
    </xdr:from>
    <xdr:to>
      <xdr:col>4</xdr:col>
      <xdr:colOff>2766060</xdr:colOff>
      <xdr:row>346</xdr:row>
      <xdr:rowOff>2381250</xdr:rowOff>
    </xdr:to>
    <xdr:pic>
      <xdr:nvPicPr>
        <xdr:cNvPr id="379" name="图片 37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788577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347</xdr:row>
      <xdr:rowOff>140970</xdr:rowOff>
    </xdr:from>
    <xdr:to>
      <xdr:col>4</xdr:col>
      <xdr:colOff>2766060</xdr:colOff>
      <xdr:row>347</xdr:row>
      <xdr:rowOff>2381250</xdr:rowOff>
    </xdr:to>
    <xdr:pic>
      <xdr:nvPicPr>
        <xdr:cNvPr id="380" name="图片 37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813996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348</xdr:row>
      <xdr:rowOff>140970</xdr:rowOff>
    </xdr:from>
    <xdr:to>
      <xdr:col>4</xdr:col>
      <xdr:colOff>2766060</xdr:colOff>
      <xdr:row>348</xdr:row>
      <xdr:rowOff>2381250</xdr:rowOff>
    </xdr:to>
    <xdr:pic>
      <xdr:nvPicPr>
        <xdr:cNvPr id="381" name="图片 38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839415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349</xdr:row>
      <xdr:rowOff>140970</xdr:rowOff>
    </xdr:from>
    <xdr:to>
      <xdr:col>4</xdr:col>
      <xdr:colOff>2766060</xdr:colOff>
      <xdr:row>349</xdr:row>
      <xdr:rowOff>2381250</xdr:rowOff>
    </xdr:to>
    <xdr:pic>
      <xdr:nvPicPr>
        <xdr:cNvPr id="382" name="图片 38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864834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350</xdr:row>
      <xdr:rowOff>140970</xdr:rowOff>
    </xdr:from>
    <xdr:to>
      <xdr:col>4</xdr:col>
      <xdr:colOff>2766060</xdr:colOff>
      <xdr:row>350</xdr:row>
      <xdr:rowOff>2381250</xdr:rowOff>
    </xdr:to>
    <xdr:pic>
      <xdr:nvPicPr>
        <xdr:cNvPr id="383" name="图片 38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890254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351</xdr:row>
      <xdr:rowOff>140970</xdr:rowOff>
    </xdr:from>
    <xdr:to>
      <xdr:col>4</xdr:col>
      <xdr:colOff>2766060</xdr:colOff>
      <xdr:row>351</xdr:row>
      <xdr:rowOff>2381250</xdr:rowOff>
    </xdr:to>
    <xdr:pic>
      <xdr:nvPicPr>
        <xdr:cNvPr id="384" name="图片 38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915673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352</xdr:row>
      <xdr:rowOff>140970</xdr:rowOff>
    </xdr:from>
    <xdr:to>
      <xdr:col>4</xdr:col>
      <xdr:colOff>2766060</xdr:colOff>
      <xdr:row>352</xdr:row>
      <xdr:rowOff>2381250</xdr:rowOff>
    </xdr:to>
    <xdr:pic>
      <xdr:nvPicPr>
        <xdr:cNvPr id="385" name="图片 38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941092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353</xdr:row>
      <xdr:rowOff>140970</xdr:rowOff>
    </xdr:from>
    <xdr:to>
      <xdr:col>4</xdr:col>
      <xdr:colOff>2766060</xdr:colOff>
      <xdr:row>353</xdr:row>
      <xdr:rowOff>2381250</xdr:rowOff>
    </xdr:to>
    <xdr:pic>
      <xdr:nvPicPr>
        <xdr:cNvPr id="386" name="图片 38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966511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354</xdr:row>
      <xdr:rowOff>140970</xdr:rowOff>
    </xdr:from>
    <xdr:to>
      <xdr:col>4</xdr:col>
      <xdr:colOff>2766060</xdr:colOff>
      <xdr:row>354</xdr:row>
      <xdr:rowOff>2381250</xdr:rowOff>
    </xdr:to>
    <xdr:pic>
      <xdr:nvPicPr>
        <xdr:cNvPr id="387" name="图片 38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8991930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355</xdr:row>
      <xdr:rowOff>140970</xdr:rowOff>
    </xdr:from>
    <xdr:to>
      <xdr:col>4</xdr:col>
      <xdr:colOff>2766060</xdr:colOff>
      <xdr:row>355</xdr:row>
      <xdr:rowOff>2381250</xdr:rowOff>
    </xdr:to>
    <xdr:pic>
      <xdr:nvPicPr>
        <xdr:cNvPr id="388" name="图片 38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017349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356</xdr:row>
      <xdr:rowOff>140970</xdr:rowOff>
    </xdr:from>
    <xdr:to>
      <xdr:col>4</xdr:col>
      <xdr:colOff>2766060</xdr:colOff>
      <xdr:row>356</xdr:row>
      <xdr:rowOff>2381250</xdr:rowOff>
    </xdr:to>
    <xdr:pic>
      <xdr:nvPicPr>
        <xdr:cNvPr id="389" name="图片 38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042768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357</xdr:row>
      <xdr:rowOff>140970</xdr:rowOff>
    </xdr:from>
    <xdr:to>
      <xdr:col>4</xdr:col>
      <xdr:colOff>2766060</xdr:colOff>
      <xdr:row>357</xdr:row>
      <xdr:rowOff>2381250</xdr:rowOff>
    </xdr:to>
    <xdr:pic>
      <xdr:nvPicPr>
        <xdr:cNvPr id="390" name="图片 38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068187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358</xdr:row>
      <xdr:rowOff>140970</xdr:rowOff>
    </xdr:from>
    <xdr:to>
      <xdr:col>4</xdr:col>
      <xdr:colOff>2766060</xdr:colOff>
      <xdr:row>358</xdr:row>
      <xdr:rowOff>2381250</xdr:rowOff>
    </xdr:to>
    <xdr:pic>
      <xdr:nvPicPr>
        <xdr:cNvPr id="391" name="图片 39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093606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359</xdr:row>
      <xdr:rowOff>140970</xdr:rowOff>
    </xdr:from>
    <xdr:to>
      <xdr:col>4</xdr:col>
      <xdr:colOff>2766060</xdr:colOff>
      <xdr:row>359</xdr:row>
      <xdr:rowOff>2381250</xdr:rowOff>
    </xdr:to>
    <xdr:pic>
      <xdr:nvPicPr>
        <xdr:cNvPr id="392" name="图片 39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119025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360</xdr:row>
      <xdr:rowOff>140970</xdr:rowOff>
    </xdr:from>
    <xdr:to>
      <xdr:col>4</xdr:col>
      <xdr:colOff>2766060</xdr:colOff>
      <xdr:row>360</xdr:row>
      <xdr:rowOff>2381250</xdr:rowOff>
    </xdr:to>
    <xdr:pic>
      <xdr:nvPicPr>
        <xdr:cNvPr id="393" name="图片 39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144444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361</xdr:row>
      <xdr:rowOff>140970</xdr:rowOff>
    </xdr:from>
    <xdr:to>
      <xdr:col>4</xdr:col>
      <xdr:colOff>2766060</xdr:colOff>
      <xdr:row>361</xdr:row>
      <xdr:rowOff>2381250</xdr:rowOff>
    </xdr:to>
    <xdr:pic>
      <xdr:nvPicPr>
        <xdr:cNvPr id="394" name="图片 39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169863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362</xdr:row>
      <xdr:rowOff>140970</xdr:rowOff>
    </xdr:from>
    <xdr:to>
      <xdr:col>4</xdr:col>
      <xdr:colOff>2766060</xdr:colOff>
      <xdr:row>362</xdr:row>
      <xdr:rowOff>2381250</xdr:rowOff>
    </xdr:to>
    <xdr:pic>
      <xdr:nvPicPr>
        <xdr:cNvPr id="395" name="图片 39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195282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363</xdr:row>
      <xdr:rowOff>140970</xdr:rowOff>
    </xdr:from>
    <xdr:to>
      <xdr:col>4</xdr:col>
      <xdr:colOff>2766060</xdr:colOff>
      <xdr:row>363</xdr:row>
      <xdr:rowOff>2381250</xdr:rowOff>
    </xdr:to>
    <xdr:pic>
      <xdr:nvPicPr>
        <xdr:cNvPr id="396" name="图片 39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220701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364</xdr:row>
      <xdr:rowOff>140970</xdr:rowOff>
    </xdr:from>
    <xdr:to>
      <xdr:col>4</xdr:col>
      <xdr:colOff>2766060</xdr:colOff>
      <xdr:row>364</xdr:row>
      <xdr:rowOff>2381250</xdr:rowOff>
    </xdr:to>
    <xdr:pic>
      <xdr:nvPicPr>
        <xdr:cNvPr id="397" name="图片 39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246120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365</xdr:row>
      <xdr:rowOff>140970</xdr:rowOff>
    </xdr:from>
    <xdr:to>
      <xdr:col>4</xdr:col>
      <xdr:colOff>2766060</xdr:colOff>
      <xdr:row>365</xdr:row>
      <xdr:rowOff>2381250</xdr:rowOff>
    </xdr:to>
    <xdr:pic>
      <xdr:nvPicPr>
        <xdr:cNvPr id="398" name="图片 39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271539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367</xdr:row>
      <xdr:rowOff>140970</xdr:rowOff>
    </xdr:from>
    <xdr:to>
      <xdr:col>4</xdr:col>
      <xdr:colOff>2766060</xdr:colOff>
      <xdr:row>367</xdr:row>
      <xdr:rowOff>2381250</xdr:rowOff>
    </xdr:to>
    <xdr:pic>
      <xdr:nvPicPr>
        <xdr:cNvPr id="410" name="图片 40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322377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368</xdr:row>
      <xdr:rowOff>140970</xdr:rowOff>
    </xdr:from>
    <xdr:to>
      <xdr:col>4</xdr:col>
      <xdr:colOff>2766060</xdr:colOff>
      <xdr:row>368</xdr:row>
      <xdr:rowOff>2381250</xdr:rowOff>
    </xdr:to>
    <xdr:pic>
      <xdr:nvPicPr>
        <xdr:cNvPr id="411" name="图片 41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3532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366</xdr:row>
      <xdr:rowOff>140970</xdr:rowOff>
    </xdr:from>
    <xdr:to>
      <xdr:col>4</xdr:col>
      <xdr:colOff>2766060</xdr:colOff>
      <xdr:row>366</xdr:row>
      <xdr:rowOff>2381250</xdr:rowOff>
    </xdr:to>
    <xdr:pic>
      <xdr:nvPicPr>
        <xdr:cNvPr id="412" name="图片 41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296958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1110615</xdr:colOff>
      <xdr:row>369</xdr:row>
      <xdr:rowOff>0</xdr:rowOff>
    </xdr:from>
    <xdr:to>
      <xdr:col>4</xdr:col>
      <xdr:colOff>2687955</xdr:colOff>
      <xdr:row>369</xdr:row>
      <xdr:rowOff>2483485</xdr:rowOff>
    </xdr:to>
    <xdr:pic>
      <xdr:nvPicPr>
        <xdr:cNvPr id="415" name="图片 414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0318115" y="938040415"/>
          <a:ext cx="1577340" cy="2483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369</xdr:row>
      <xdr:rowOff>140970</xdr:rowOff>
    </xdr:from>
    <xdr:to>
      <xdr:col>4</xdr:col>
      <xdr:colOff>2766060</xdr:colOff>
      <xdr:row>369</xdr:row>
      <xdr:rowOff>2381250</xdr:rowOff>
    </xdr:to>
    <xdr:pic>
      <xdr:nvPicPr>
        <xdr:cNvPr id="416" name="图片 41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3818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370</xdr:row>
      <xdr:rowOff>140970</xdr:rowOff>
    </xdr:from>
    <xdr:to>
      <xdr:col>4</xdr:col>
      <xdr:colOff>2766060</xdr:colOff>
      <xdr:row>370</xdr:row>
      <xdr:rowOff>2381250</xdr:rowOff>
    </xdr:to>
    <xdr:pic>
      <xdr:nvPicPr>
        <xdr:cNvPr id="417" name="图片 41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4103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371</xdr:row>
      <xdr:rowOff>140970</xdr:rowOff>
    </xdr:from>
    <xdr:to>
      <xdr:col>4</xdr:col>
      <xdr:colOff>2766060</xdr:colOff>
      <xdr:row>371</xdr:row>
      <xdr:rowOff>2381250</xdr:rowOff>
    </xdr:to>
    <xdr:pic>
      <xdr:nvPicPr>
        <xdr:cNvPr id="418" name="图片 41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43896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372</xdr:row>
      <xdr:rowOff>140970</xdr:rowOff>
    </xdr:from>
    <xdr:to>
      <xdr:col>4</xdr:col>
      <xdr:colOff>2766060</xdr:colOff>
      <xdr:row>372</xdr:row>
      <xdr:rowOff>2381250</xdr:rowOff>
    </xdr:to>
    <xdr:pic>
      <xdr:nvPicPr>
        <xdr:cNvPr id="419" name="图片 41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4675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373</xdr:row>
      <xdr:rowOff>140970</xdr:rowOff>
    </xdr:from>
    <xdr:to>
      <xdr:col>4</xdr:col>
      <xdr:colOff>2766060</xdr:colOff>
      <xdr:row>373</xdr:row>
      <xdr:rowOff>2381250</xdr:rowOff>
    </xdr:to>
    <xdr:pic>
      <xdr:nvPicPr>
        <xdr:cNvPr id="420" name="图片 41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4961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374</xdr:row>
      <xdr:rowOff>140970</xdr:rowOff>
    </xdr:from>
    <xdr:to>
      <xdr:col>4</xdr:col>
      <xdr:colOff>2766060</xdr:colOff>
      <xdr:row>374</xdr:row>
      <xdr:rowOff>2381250</xdr:rowOff>
    </xdr:to>
    <xdr:pic>
      <xdr:nvPicPr>
        <xdr:cNvPr id="421" name="图片 42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5246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375</xdr:row>
      <xdr:rowOff>140970</xdr:rowOff>
    </xdr:from>
    <xdr:to>
      <xdr:col>4</xdr:col>
      <xdr:colOff>2766060</xdr:colOff>
      <xdr:row>375</xdr:row>
      <xdr:rowOff>2381250</xdr:rowOff>
    </xdr:to>
    <xdr:pic>
      <xdr:nvPicPr>
        <xdr:cNvPr id="422" name="图片 42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55326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376</xdr:row>
      <xdr:rowOff>140970</xdr:rowOff>
    </xdr:from>
    <xdr:to>
      <xdr:col>4</xdr:col>
      <xdr:colOff>2766060</xdr:colOff>
      <xdr:row>376</xdr:row>
      <xdr:rowOff>2381250</xdr:rowOff>
    </xdr:to>
    <xdr:pic>
      <xdr:nvPicPr>
        <xdr:cNvPr id="423" name="图片 42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5818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377</xdr:row>
      <xdr:rowOff>140970</xdr:rowOff>
    </xdr:from>
    <xdr:to>
      <xdr:col>4</xdr:col>
      <xdr:colOff>2766060</xdr:colOff>
      <xdr:row>377</xdr:row>
      <xdr:rowOff>2381250</xdr:rowOff>
    </xdr:to>
    <xdr:pic>
      <xdr:nvPicPr>
        <xdr:cNvPr id="424" name="图片 42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6104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378</xdr:row>
      <xdr:rowOff>140970</xdr:rowOff>
    </xdr:from>
    <xdr:to>
      <xdr:col>4</xdr:col>
      <xdr:colOff>2766060</xdr:colOff>
      <xdr:row>378</xdr:row>
      <xdr:rowOff>2381250</xdr:rowOff>
    </xdr:to>
    <xdr:pic>
      <xdr:nvPicPr>
        <xdr:cNvPr id="425" name="图片 42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6389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379</xdr:row>
      <xdr:rowOff>140970</xdr:rowOff>
    </xdr:from>
    <xdr:to>
      <xdr:col>4</xdr:col>
      <xdr:colOff>2766060</xdr:colOff>
      <xdr:row>379</xdr:row>
      <xdr:rowOff>2381250</xdr:rowOff>
    </xdr:to>
    <xdr:pic>
      <xdr:nvPicPr>
        <xdr:cNvPr id="426" name="图片 42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66756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380</xdr:row>
      <xdr:rowOff>140970</xdr:rowOff>
    </xdr:from>
    <xdr:to>
      <xdr:col>4</xdr:col>
      <xdr:colOff>2766060</xdr:colOff>
      <xdr:row>380</xdr:row>
      <xdr:rowOff>2381250</xdr:rowOff>
    </xdr:to>
    <xdr:pic>
      <xdr:nvPicPr>
        <xdr:cNvPr id="427" name="图片 42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6961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381</xdr:row>
      <xdr:rowOff>140970</xdr:rowOff>
    </xdr:from>
    <xdr:to>
      <xdr:col>4</xdr:col>
      <xdr:colOff>2766060</xdr:colOff>
      <xdr:row>381</xdr:row>
      <xdr:rowOff>2381250</xdr:rowOff>
    </xdr:to>
    <xdr:pic>
      <xdr:nvPicPr>
        <xdr:cNvPr id="428" name="图片 42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7247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382</xdr:row>
      <xdr:rowOff>140970</xdr:rowOff>
    </xdr:from>
    <xdr:to>
      <xdr:col>4</xdr:col>
      <xdr:colOff>2766060</xdr:colOff>
      <xdr:row>382</xdr:row>
      <xdr:rowOff>2381250</xdr:rowOff>
    </xdr:to>
    <xdr:pic>
      <xdr:nvPicPr>
        <xdr:cNvPr id="429" name="图片 42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7532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383</xdr:row>
      <xdr:rowOff>140970</xdr:rowOff>
    </xdr:from>
    <xdr:to>
      <xdr:col>4</xdr:col>
      <xdr:colOff>2766060</xdr:colOff>
      <xdr:row>383</xdr:row>
      <xdr:rowOff>2381250</xdr:rowOff>
    </xdr:to>
    <xdr:pic>
      <xdr:nvPicPr>
        <xdr:cNvPr id="430" name="图片 42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78186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384</xdr:row>
      <xdr:rowOff>140970</xdr:rowOff>
    </xdr:from>
    <xdr:to>
      <xdr:col>4</xdr:col>
      <xdr:colOff>2766060</xdr:colOff>
      <xdr:row>384</xdr:row>
      <xdr:rowOff>2381250</xdr:rowOff>
    </xdr:to>
    <xdr:pic>
      <xdr:nvPicPr>
        <xdr:cNvPr id="431" name="图片 43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8104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385</xdr:row>
      <xdr:rowOff>140970</xdr:rowOff>
    </xdr:from>
    <xdr:to>
      <xdr:col>4</xdr:col>
      <xdr:colOff>2766060</xdr:colOff>
      <xdr:row>385</xdr:row>
      <xdr:rowOff>2381250</xdr:rowOff>
    </xdr:to>
    <xdr:pic>
      <xdr:nvPicPr>
        <xdr:cNvPr id="432" name="图片 43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8390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386</xdr:row>
      <xdr:rowOff>140970</xdr:rowOff>
    </xdr:from>
    <xdr:to>
      <xdr:col>4</xdr:col>
      <xdr:colOff>2766060</xdr:colOff>
      <xdr:row>386</xdr:row>
      <xdr:rowOff>2381250</xdr:rowOff>
    </xdr:to>
    <xdr:pic>
      <xdr:nvPicPr>
        <xdr:cNvPr id="433" name="图片 43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8675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387</xdr:row>
      <xdr:rowOff>140970</xdr:rowOff>
    </xdr:from>
    <xdr:to>
      <xdr:col>4</xdr:col>
      <xdr:colOff>2766060</xdr:colOff>
      <xdr:row>387</xdr:row>
      <xdr:rowOff>2381250</xdr:rowOff>
    </xdr:to>
    <xdr:pic>
      <xdr:nvPicPr>
        <xdr:cNvPr id="434" name="图片 43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89616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388</xdr:row>
      <xdr:rowOff>140970</xdr:rowOff>
    </xdr:from>
    <xdr:to>
      <xdr:col>4</xdr:col>
      <xdr:colOff>2766060</xdr:colOff>
      <xdr:row>388</xdr:row>
      <xdr:rowOff>2381250</xdr:rowOff>
    </xdr:to>
    <xdr:pic>
      <xdr:nvPicPr>
        <xdr:cNvPr id="435" name="图片 43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9247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389</xdr:row>
      <xdr:rowOff>140970</xdr:rowOff>
    </xdr:from>
    <xdr:to>
      <xdr:col>4</xdr:col>
      <xdr:colOff>2766060</xdr:colOff>
      <xdr:row>389</xdr:row>
      <xdr:rowOff>2381250</xdr:rowOff>
    </xdr:to>
    <xdr:pic>
      <xdr:nvPicPr>
        <xdr:cNvPr id="436" name="图片 43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9533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390</xdr:row>
      <xdr:rowOff>140970</xdr:rowOff>
    </xdr:from>
    <xdr:to>
      <xdr:col>4</xdr:col>
      <xdr:colOff>2766060</xdr:colOff>
      <xdr:row>390</xdr:row>
      <xdr:rowOff>2381250</xdr:rowOff>
    </xdr:to>
    <xdr:pic>
      <xdr:nvPicPr>
        <xdr:cNvPr id="437" name="图片 43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99818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391</xdr:row>
      <xdr:rowOff>140970</xdr:rowOff>
    </xdr:from>
    <xdr:to>
      <xdr:col>4</xdr:col>
      <xdr:colOff>2766060</xdr:colOff>
      <xdr:row>391</xdr:row>
      <xdr:rowOff>2381250</xdr:rowOff>
    </xdr:to>
    <xdr:pic>
      <xdr:nvPicPr>
        <xdr:cNvPr id="438" name="图片 43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01046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392</xdr:row>
      <xdr:rowOff>140970</xdr:rowOff>
    </xdr:from>
    <xdr:to>
      <xdr:col>4</xdr:col>
      <xdr:colOff>2766060</xdr:colOff>
      <xdr:row>392</xdr:row>
      <xdr:rowOff>2381250</xdr:rowOff>
    </xdr:to>
    <xdr:pic>
      <xdr:nvPicPr>
        <xdr:cNvPr id="439" name="图片 43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03903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393</xdr:row>
      <xdr:rowOff>140970</xdr:rowOff>
    </xdr:from>
    <xdr:to>
      <xdr:col>4</xdr:col>
      <xdr:colOff>2766060</xdr:colOff>
      <xdr:row>393</xdr:row>
      <xdr:rowOff>2381250</xdr:rowOff>
    </xdr:to>
    <xdr:pic>
      <xdr:nvPicPr>
        <xdr:cNvPr id="440" name="图片 43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067613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396</xdr:row>
      <xdr:rowOff>140970</xdr:rowOff>
    </xdr:from>
    <xdr:to>
      <xdr:col>4</xdr:col>
      <xdr:colOff>2766060</xdr:colOff>
      <xdr:row>396</xdr:row>
      <xdr:rowOff>2381250</xdr:rowOff>
    </xdr:to>
    <xdr:pic>
      <xdr:nvPicPr>
        <xdr:cNvPr id="452" name="图片 45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147026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1129665</xdr:colOff>
      <xdr:row>397</xdr:row>
      <xdr:rowOff>0</xdr:rowOff>
    </xdr:from>
    <xdr:to>
      <xdr:col>4</xdr:col>
      <xdr:colOff>2668905</xdr:colOff>
      <xdr:row>397</xdr:row>
      <xdr:rowOff>2422525</xdr:rowOff>
    </xdr:to>
    <xdr:pic>
      <xdr:nvPicPr>
        <xdr:cNvPr id="453" name="图片 452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10337165" y="1017103630"/>
          <a:ext cx="1539240" cy="2422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397</xdr:row>
      <xdr:rowOff>140970</xdr:rowOff>
    </xdr:from>
    <xdr:to>
      <xdr:col>4</xdr:col>
      <xdr:colOff>2766060</xdr:colOff>
      <xdr:row>397</xdr:row>
      <xdr:rowOff>2381250</xdr:rowOff>
    </xdr:to>
    <xdr:pic>
      <xdr:nvPicPr>
        <xdr:cNvPr id="454" name="图片 45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172446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398</xdr:row>
      <xdr:rowOff>140970</xdr:rowOff>
    </xdr:from>
    <xdr:to>
      <xdr:col>4</xdr:col>
      <xdr:colOff>2766060</xdr:colOff>
      <xdr:row>398</xdr:row>
      <xdr:rowOff>2381250</xdr:rowOff>
    </xdr:to>
    <xdr:pic>
      <xdr:nvPicPr>
        <xdr:cNvPr id="455" name="图片 45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203307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396</xdr:row>
      <xdr:rowOff>140970</xdr:rowOff>
    </xdr:from>
    <xdr:to>
      <xdr:col>4</xdr:col>
      <xdr:colOff>2766060</xdr:colOff>
      <xdr:row>396</xdr:row>
      <xdr:rowOff>2381250</xdr:rowOff>
    </xdr:to>
    <xdr:pic>
      <xdr:nvPicPr>
        <xdr:cNvPr id="456" name="图片 45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147026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1002030</xdr:colOff>
      <xdr:row>399</xdr:row>
      <xdr:rowOff>140970</xdr:rowOff>
    </xdr:from>
    <xdr:to>
      <xdr:col>4</xdr:col>
      <xdr:colOff>2735580</xdr:colOff>
      <xdr:row>399</xdr:row>
      <xdr:rowOff>2381250</xdr:rowOff>
    </xdr:to>
    <xdr:pic>
      <xdr:nvPicPr>
        <xdr:cNvPr id="460" name="图片 45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09530" y="10228726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400</xdr:row>
      <xdr:rowOff>140970</xdr:rowOff>
    </xdr:from>
    <xdr:to>
      <xdr:col>4</xdr:col>
      <xdr:colOff>2766060</xdr:colOff>
      <xdr:row>400</xdr:row>
      <xdr:rowOff>2381250</xdr:rowOff>
    </xdr:to>
    <xdr:pic>
      <xdr:nvPicPr>
        <xdr:cNvPr id="461" name="图片 46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254145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401</xdr:row>
      <xdr:rowOff>140970</xdr:rowOff>
    </xdr:from>
    <xdr:to>
      <xdr:col>4</xdr:col>
      <xdr:colOff>2766060</xdr:colOff>
      <xdr:row>401</xdr:row>
      <xdr:rowOff>2381250</xdr:rowOff>
    </xdr:to>
    <xdr:pic>
      <xdr:nvPicPr>
        <xdr:cNvPr id="462" name="图片 46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279564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402</xdr:row>
      <xdr:rowOff>140970</xdr:rowOff>
    </xdr:from>
    <xdr:to>
      <xdr:col>4</xdr:col>
      <xdr:colOff>2766060</xdr:colOff>
      <xdr:row>402</xdr:row>
      <xdr:rowOff>2381250</xdr:rowOff>
    </xdr:to>
    <xdr:pic>
      <xdr:nvPicPr>
        <xdr:cNvPr id="463" name="图片 46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304983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403</xdr:row>
      <xdr:rowOff>140970</xdr:rowOff>
    </xdr:from>
    <xdr:to>
      <xdr:col>4</xdr:col>
      <xdr:colOff>2766060</xdr:colOff>
      <xdr:row>403</xdr:row>
      <xdr:rowOff>2381250</xdr:rowOff>
    </xdr:to>
    <xdr:pic>
      <xdr:nvPicPr>
        <xdr:cNvPr id="464" name="图片 46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330402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404</xdr:row>
      <xdr:rowOff>140970</xdr:rowOff>
    </xdr:from>
    <xdr:to>
      <xdr:col>4</xdr:col>
      <xdr:colOff>2766060</xdr:colOff>
      <xdr:row>404</xdr:row>
      <xdr:rowOff>2381250</xdr:rowOff>
    </xdr:to>
    <xdr:pic>
      <xdr:nvPicPr>
        <xdr:cNvPr id="465" name="图片 46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3558213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405</xdr:row>
      <xdr:rowOff>140970</xdr:rowOff>
    </xdr:from>
    <xdr:to>
      <xdr:col>4</xdr:col>
      <xdr:colOff>2766060</xdr:colOff>
      <xdr:row>405</xdr:row>
      <xdr:rowOff>2381250</xdr:rowOff>
    </xdr:to>
    <xdr:pic>
      <xdr:nvPicPr>
        <xdr:cNvPr id="466" name="图片 46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3812403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406</xdr:row>
      <xdr:rowOff>140970</xdr:rowOff>
    </xdr:from>
    <xdr:to>
      <xdr:col>4</xdr:col>
      <xdr:colOff>2766060</xdr:colOff>
      <xdr:row>406</xdr:row>
      <xdr:rowOff>2381250</xdr:rowOff>
    </xdr:to>
    <xdr:pic>
      <xdr:nvPicPr>
        <xdr:cNvPr id="467" name="图片 46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4066594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407</xdr:row>
      <xdr:rowOff>140970</xdr:rowOff>
    </xdr:from>
    <xdr:to>
      <xdr:col>4</xdr:col>
      <xdr:colOff>2766060</xdr:colOff>
      <xdr:row>407</xdr:row>
      <xdr:rowOff>2381250</xdr:rowOff>
    </xdr:to>
    <xdr:pic>
      <xdr:nvPicPr>
        <xdr:cNvPr id="468" name="图片 46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4320784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408</xdr:row>
      <xdr:rowOff>140970</xdr:rowOff>
    </xdr:from>
    <xdr:to>
      <xdr:col>4</xdr:col>
      <xdr:colOff>2766060</xdr:colOff>
      <xdr:row>408</xdr:row>
      <xdr:rowOff>2381250</xdr:rowOff>
    </xdr:to>
    <xdr:pic>
      <xdr:nvPicPr>
        <xdr:cNvPr id="469" name="图片 46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4574975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409</xdr:row>
      <xdr:rowOff>140970</xdr:rowOff>
    </xdr:from>
    <xdr:to>
      <xdr:col>4</xdr:col>
      <xdr:colOff>2766060</xdr:colOff>
      <xdr:row>409</xdr:row>
      <xdr:rowOff>2381250</xdr:rowOff>
    </xdr:to>
    <xdr:pic>
      <xdr:nvPicPr>
        <xdr:cNvPr id="470" name="图片 46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4829165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410</xdr:row>
      <xdr:rowOff>140970</xdr:rowOff>
    </xdr:from>
    <xdr:to>
      <xdr:col>4</xdr:col>
      <xdr:colOff>2766060</xdr:colOff>
      <xdr:row>410</xdr:row>
      <xdr:rowOff>2381250</xdr:rowOff>
    </xdr:to>
    <xdr:pic>
      <xdr:nvPicPr>
        <xdr:cNvPr id="471" name="图片 47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5083356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411</xdr:row>
      <xdr:rowOff>140970</xdr:rowOff>
    </xdr:from>
    <xdr:to>
      <xdr:col>4</xdr:col>
      <xdr:colOff>2766060</xdr:colOff>
      <xdr:row>411</xdr:row>
      <xdr:rowOff>2381250</xdr:rowOff>
    </xdr:to>
    <xdr:pic>
      <xdr:nvPicPr>
        <xdr:cNvPr id="472" name="图片 47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5337546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412</xdr:row>
      <xdr:rowOff>140970</xdr:rowOff>
    </xdr:from>
    <xdr:to>
      <xdr:col>4</xdr:col>
      <xdr:colOff>2766060</xdr:colOff>
      <xdr:row>412</xdr:row>
      <xdr:rowOff>2381250</xdr:rowOff>
    </xdr:to>
    <xdr:pic>
      <xdr:nvPicPr>
        <xdr:cNvPr id="473" name="图片 47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5591737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413</xdr:row>
      <xdr:rowOff>140970</xdr:rowOff>
    </xdr:from>
    <xdr:to>
      <xdr:col>4</xdr:col>
      <xdr:colOff>2766060</xdr:colOff>
      <xdr:row>413</xdr:row>
      <xdr:rowOff>2381250</xdr:rowOff>
    </xdr:to>
    <xdr:pic>
      <xdr:nvPicPr>
        <xdr:cNvPr id="474" name="图片 47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5845927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414</xdr:row>
      <xdr:rowOff>140970</xdr:rowOff>
    </xdr:from>
    <xdr:to>
      <xdr:col>4</xdr:col>
      <xdr:colOff>2766060</xdr:colOff>
      <xdr:row>414</xdr:row>
      <xdr:rowOff>2381250</xdr:rowOff>
    </xdr:to>
    <xdr:pic>
      <xdr:nvPicPr>
        <xdr:cNvPr id="475" name="图片 47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6100118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415</xdr:row>
      <xdr:rowOff>140970</xdr:rowOff>
    </xdr:from>
    <xdr:to>
      <xdr:col>4</xdr:col>
      <xdr:colOff>2766060</xdr:colOff>
      <xdr:row>415</xdr:row>
      <xdr:rowOff>2381250</xdr:rowOff>
    </xdr:to>
    <xdr:pic>
      <xdr:nvPicPr>
        <xdr:cNvPr id="476" name="图片 47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635430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416</xdr:row>
      <xdr:rowOff>140970</xdr:rowOff>
    </xdr:from>
    <xdr:to>
      <xdr:col>4</xdr:col>
      <xdr:colOff>2766060</xdr:colOff>
      <xdr:row>416</xdr:row>
      <xdr:rowOff>2381250</xdr:rowOff>
    </xdr:to>
    <xdr:pic>
      <xdr:nvPicPr>
        <xdr:cNvPr id="477" name="图片 476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660849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417</xdr:row>
      <xdr:rowOff>140970</xdr:rowOff>
    </xdr:from>
    <xdr:to>
      <xdr:col>4</xdr:col>
      <xdr:colOff>2766060</xdr:colOff>
      <xdr:row>417</xdr:row>
      <xdr:rowOff>2381250</xdr:rowOff>
    </xdr:to>
    <xdr:pic>
      <xdr:nvPicPr>
        <xdr:cNvPr id="478" name="图片 477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6862689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418</xdr:row>
      <xdr:rowOff>140970</xdr:rowOff>
    </xdr:from>
    <xdr:to>
      <xdr:col>4</xdr:col>
      <xdr:colOff>2766060</xdr:colOff>
      <xdr:row>418</xdr:row>
      <xdr:rowOff>2381250</xdr:rowOff>
    </xdr:to>
    <xdr:pic>
      <xdr:nvPicPr>
        <xdr:cNvPr id="479" name="图片 478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7116880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419</xdr:row>
      <xdr:rowOff>140970</xdr:rowOff>
    </xdr:from>
    <xdr:to>
      <xdr:col>4</xdr:col>
      <xdr:colOff>2766060</xdr:colOff>
      <xdr:row>419</xdr:row>
      <xdr:rowOff>2381250</xdr:rowOff>
    </xdr:to>
    <xdr:pic>
      <xdr:nvPicPr>
        <xdr:cNvPr id="480" name="图片 479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7371070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420</xdr:row>
      <xdr:rowOff>140970</xdr:rowOff>
    </xdr:from>
    <xdr:to>
      <xdr:col>4</xdr:col>
      <xdr:colOff>2766060</xdr:colOff>
      <xdr:row>420</xdr:row>
      <xdr:rowOff>2381250</xdr:rowOff>
    </xdr:to>
    <xdr:pic>
      <xdr:nvPicPr>
        <xdr:cNvPr id="481" name="图片 48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7625261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421</xdr:row>
      <xdr:rowOff>140970</xdr:rowOff>
    </xdr:from>
    <xdr:to>
      <xdr:col>4</xdr:col>
      <xdr:colOff>2766060</xdr:colOff>
      <xdr:row>421</xdr:row>
      <xdr:rowOff>2381250</xdr:rowOff>
    </xdr:to>
    <xdr:pic>
      <xdr:nvPicPr>
        <xdr:cNvPr id="482" name="图片 48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7879451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422</xdr:row>
      <xdr:rowOff>140970</xdr:rowOff>
    </xdr:from>
    <xdr:to>
      <xdr:col>4</xdr:col>
      <xdr:colOff>2766060</xdr:colOff>
      <xdr:row>422</xdr:row>
      <xdr:rowOff>2381250</xdr:rowOff>
    </xdr:to>
    <xdr:pic>
      <xdr:nvPicPr>
        <xdr:cNvPr id="483" name="图片 48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8133642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423</xdr:row>
      <xdr:rowOff>140970</xdr:rowOff>
    </xdr:from>
    <xdr:to>
      <xdr:col>4</xdr:col>
      <xdr:colOff>2766060</xdr:colOff>
      <xdr:row>423</xdr:row>
      <xdr:rowOff>2381250</xdr:rowOff>
    </xdr:to>
    <xdr:pic>
      <xdr:nvPicPr>
        <xdr:cNvPr id="484" name="图片 48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8387832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394</xdr:row>
      <xdr:rowOff>140970</xdr:rowOff>
    </xdr:from>
    <xdr:to>
      <xdr:col>4</xdr:col>
      <xdr:colOff>2766060</xdr:colOff>
      <xdr:row>394</xdr:row>
      <xdr:rowOff>2381250</xdr:rowOff>
    </xdr:to>
    <xdr:pic>
      <xdr:nvPicPr>
        <xdr:cNvPr id="495" name="图片 494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09618885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1032510</xdr:colOff>
      <xdr:row>395</xdr:row>
      <xdr:rowOff>140970</xdr:rowOff>
    </xdr:from>
    <xdr:to>
      <xdr:col>4</xdr:col>
      <xdr:colOff>2766060</xdr:colOff>
      <xdr:row>395</xdr:row>
      <xdr:rowOff>2381250</xdr:rowOff>
    </xdr:to>
    <xdr:pic>
      <xdr:nvPicPr>
        <xdr:cNvPr id="496" name="图片 495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240010" y="1012160790"/>
          <a:ext cx="1733550" cy="2240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421005</xdr:colOff>
      <xdr:row>424</xdr:row>
      <xdr:rowOff>52070</xdr:rowOff>
    </xdr:from>
    <xdr:to>
      <xdr:col>4</xdr:col>
      <xdr:colOff>3377565</xdr:colOff>
      <xdr:row>424</xdr:row>
      <xdr:rowOff>3872865</xdr:rowOff>
    </xdr:to>
    <xdr:pic>
      <xdr:nvPicPr>
        <xdr:cNvPr id="501" name="图片 500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9628505" y="1086331330"/>
          <a:ext cx="2956560" cy="382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973455</xdr:colOff>
      <xdr:row>425</xdr:row>
      <xdr:rowOff>45720</xdr:rowOff>
    </xdr:from>
    <xdr:to>
      <xdr:col>4</xdr:col>
      <xdr:colOff>2825115</xdr:colOff>
      <xdr:row>425</xdr:row>
      <xdr:rowOff>2438400</xdr:rowOff>
    </xdr:to>
    <xdr:pic>
      <xdr:nvPicPr>
        <xdr:cNvPr id="502" name="图片 501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180955" y="1090261980"/>
          <a:ext cx="1851660" cy="2392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973455</xdr:colOff>
      <xdr:row>426</xdr:row>
      <xdr:rowOff>58420</xdr:rowOff>
    </xdr:from>
    <xdr:to>
      <xdr:col>4</xdr:col>
      <xdr:colOff>2825115</xdr:colOff>
      <xdr:row>426</xdr:row>
      <xdr:rowOff>2451100</xdr:rowOff>
    </xdr:to>
    <xdr:pic>
      <xdr:nvPicPr>
        <xdr:cNvPr id="503" name="图片 502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180955" y="1092816585"/>
          <a:ext cx="1851660" cy="2392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973455</xdr:colOff>
      <xdr:row>427</xdr:row>
      <xdr:rowOff>58420</xdr:rowOff>
    </xdr:from>
    <xdr:to>
      <xdr:col>4</xdr:col>
      <xdr:colOff>2825115</xdr:colOff>
      <xdr:row>427</xdr:row>
      <xdr:rowOff>2451100</xdr:rowOff>
    </xdr:to>
    <xdr:pic>
      <xdr:nvPicPr>
        <xdr:cNvPr id="504" name="图片 503"/>
        <xdr:cNvPicPr>
          <a:picLocks noChangeAspect="1"/>
        </xdr:cNvPicPr>
      </xdr:nvPicPr>
      <xdr:blipFill>
        <a:blip r:embed="rId2" cstate="print">
          <a:lum bright="24000"/>
        </a:blip>
        <a:stretch>
          <a:fillRect/>
        </a:stretch>
      </xdr:blipFill>
      <xdr:spPr>
        <a:xfrm>
          <a:off x="10180955" y="1095358490"/>
          <a:ext cx="1851660" cy="2392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1473200</xdr:colOff>
      <xdr:row>61</xdr:row>
      <xdr:rowOff>2510790</xdr:rowOff>
    </xdr:from>
    <xdr:to>
      <xdr:col>4</xdr:col>
      <xdr:colOff>2975610</xdr:colOff>
      <xdr:row>62</xdr:row>
      <xdr:rowOff>2341880</xdr:rowOff>
    </xdr:to>
    <xdr:pic>
      <xdr:nvPicPr>
        <xdr:cNvPr id="483" name="图片 48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80700" y="16003841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</xdr:row>
      <xdr:rowOff>10160</xdr:rowOff>
    </xdr:from>
    <xdr:to>
      <xdr:col>4</xdr:col>
      <xdr:colOff>2945130</xdr:colOff>
      <xdr:row>2</xdr:row>
      <xdr:rowOff>2383155</xdr:rowOff>
    </xdr:to>
    <xdr:pic>
      <xdr:nvPicPr>
        <xdr:cNvPr id="494" name="图片 49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20421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</xdr:row>
      <xdr:rowOff>12065</xdr:rowOff>
    </xdr:from>
    <xdr:to>
      <xdr:col>4</xdr:col>
      <xdr:colOff>2945130</xdr:colOff>
      <xdr:row>3</xdr:row>
      <xdr:rowOff>2385060</xdr:rowOff>
    </xdr:to>
    <xdr:pic>
      <xdr:nvPicPr>
        <xdr:cNvPr id="495" name="图片 49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458597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</xdr:row>
      <xdr:rowOff>12065</xdr:rowOff>
    </xdr:from>
    <xdr:to>
      <xdr:col>4</xdr:col>
      <xdr:colOff>2945130</xdr:colOff>
      <xdr:row>4</xdr:row>
      <xdr:rowOff>2385060</xdr:rowOff>
    </xdr:to>
    <xdr:pic>
      <xdr:nvPicPr>
        <xdr:cNvPr id="496" name="图片 49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712787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</xdr:row>
      <xdr:rowOff>12065</xdr:rowOff>
    </xdr:from>
    <xdr:to>
      <xdr:col>4</xdr:col>
      <xdr:colOff>2945130</xdr:colOff>
      <xdr:row>5</xdr:row>
      <xdr:rowOff>2385060</xdr:rowOff>
    </xdr:to>
    <xdr:pic>
      <xdr:nvPicPr>
        <xdr:cNvPr id="497" name="图片 4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966978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6</xdr:row>
      <xdr:rowOff>12065</xdr:rowOff>
    </xdr:from>
    <xdr:to>
      <xdr:col>4</xdr:col>
      <xdr:colOff>2945130</xdr:colOff>
      <xdr:row>6</xdr:row>
      <xdr:rowOff>2385060</xdr:rowOff>
    </xdr:to>
    <xdr:pic>
      <xdr:nvPicPr>
        <xdr:cNvPr id="498" name="图片 49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221168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7</xdr:row>
      <xdr:rowOff>12065</xdr:rowOff>
    </xdr:from>
    <xdr:to>
      <xdr:col>4</xdr:col>
      <xdr:colOff>2945130</xdr:colOff>
      <xdr:row>7</xdr:row>
      <xdr:rowOff>2385060</xdr:rowOff>
    </xdr:to>
    <xdr:pic>
      <xdr:nvPicPr>
        <xdr:cNvPr id="499" name="图片 49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475359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8</xdr:row>
      <xdr:rowOff>12065</xdr:rowOff>
    </xdr:from>
    <xdr:to>
      <xdr:col>4</xdr:col>
      <xdr:colOff>2945130</xdr:colOff>
      <xdr:row>8</xdr:row>
      <xdr:rowOff>2385060</xdr:rowOff>
    </xdr:to>
    <xdr:pic>
      <xdr:nvPicPr>
        <xdr:cNvPr id="500" name="图片 49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729549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9</xdr:row>
      <xdr:rowOff>12065</xdr:rowOff>
    </xdr:from>
    <xdr:to>
      <xdr:col>4</xdr:col>
      <xdr:colOff>2945130</xdr:colOff>
      <xdr:row>9</xdr:row>
      <xdr:rowOff>2385060</xdr:rowOff>
    </xdr:to>
    <xdr:pic>
      <xdr:nvPicPr>
        <xdr:cNvPr id="501" name="图片 50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983740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10</xdr:row>
      <xdr:rowOff>12065</xdr:rowOff>
    </xdr:from>
    <xdr:to>
      <xdr:col>4</xdr:col>
      <xdr:colOff>2945130</xdr:colOff>
      <xdr:row>10</xdr:row>
      <xdr:rowOff>2385060</xdr:rowOff>
    </xdr:to>
    <xdr:pic>
      <xdr:nvPicPr>
        <xdr:cNvPr id="502" name="图片 50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2237930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11</xdr:row>
      <xdr:rowOff>12065</xdr:rowOff>
    </xdr:from>
    <xdr:to>
      <xdr:col>4</xdr:col>
      <xdr:colOff>2945130</xdr:colOff>
      <xdr:row>11</xdr:row>
      <xdr:rowOff>2385060</xdr:rowOff>
    </xdr:to>
    <xdr:pic>
      <xdr:nvPicPr>
        <xdr:cNvPr id="503" name="图片 50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2492121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12</xdr:row>
      <xdr:rowOff>12065</xdr:rowOff>
    </xdr:from>
    <xdr:to>
      <xdr:col>4</xdr:col>
      <xdr:colOff>2945130</xdr:colOff>
      <xdr:row>12</xdr:row>
      <xdr:rowOff>2385060</xdr:rowOff>
    </xdr:to>
    <xdr:pic>
      <xdr:nvPicPr>
        <xdr:cNvPr id="504" name="图片 50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2746311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13</xdr:row>
      <xdr:rowOff>12065</xdr:rowOff>
    </xdr:from>
    <xdr:to>
      <xdr:col>4</xdr:col>
      <xdr:colOff>2945130</xdr:colOff>
      <xdr:row>13</xdr:row>
      <xdr:rowOff>2385060</xdr:rowOff>
    </xdr:to>
    <xdr:pic>
      <xdr:nvPicPr>
        <xdr:cNvPr id="505" name="图片 50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3000502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14</xdr:row>
      <xdr:rowOff>0</xdr:rowOff>
    </xdr:from>
    <xdr:to>
      <xdr:col>4</xdr:col>
      <xdr:colOff>2945130</xdr:colOff>
      <xdr:row>14</xdr:row>
      <xdr:rowOff>2372995</xdr:rowOff>
    </xdr:to>
    <xdr:pic>
      <xdr:nvPicPr>
        <xdr:cNvPr id="506" name="图片 50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3315525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15</xdr:row>
      <xdr:rowOff>12065</xdr:rowOff>
    </xdr:from>
    <xdr:to>
      <xdr:col>4</xdr:col>
      <xdr:colOff>2945130</xdr:colOff>
      <xdr:row>15</xdr:row>
      <xdr:rowOff>2385060</xdr:rowOff>
    </xdr:to>
    <xdr:pic>
      <xdr:nvPicPr>
        <xdr:cNvPr id="539" name="图片 53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3570922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16</xdr:row>
      <xdr:rowOff>12065</xdr:rowOff>
    </xdr:from>
    <xdr:to>
      <xdr:col>4</xdr:col>
      <xdr:colOff>2945130</xdr:colOff>
      <xdr:row>16</xdr:row>
      <xdr:rowOff>2385060</xdr:rowOff>
    </xdr:to>
    <xdr:pic>
      <xdr:nvPicPr>
        <xdr:cNvPr id="540" name="图片 53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3825113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17</xdr:row>
      <xdr:rowOff>12065</xdr:rowOff>
    </xdr:from>
    <xdr:to>
      <xdr:col>4</xdr:col>
      <xdr:colOff>2945130</xdr:colOff>
      <xdr:row>17</xdr:row>
      <xdr:rowOff>2385060</xdr:rowOff>
    </xdr:to>
    <xdr:pic>
      <xdr:nvPicPr>
        <xdr:cNvPr id="541" name="图片 54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4079303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18</xdr:row>
      <xdr:rowOff>12065</xdr:rowOff>
    </xdr:from>
    <xdr:to>
      <xdr:col>4</xdr:col>
      <xdr:colOff>2945130</xdr:colOff>
      <xdr:row>18</xdr:row>
      <xdr:rowOff>2385060</xdr:rowOff>
    </xdr:to>
    <xdr:pic>
      <xdr:nvPicPr>
        <xdr:cNvPr id="542" name="图片 54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4333494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19</xdr:row>
      <xdr:rowOff>12065</xdr:rowOff>
    </xdr:from>
    <xdr:to>
      <xdr:col>4</xdr:col>
      <xdr:colOff>2945130</xdr:colOff>
      <xdr:row>19</xdr:row>
      <xdr:rowOff>2385060</xdr:rowOff>
    </xdr:to>
    <xdr:pic>
      <xdr:nvPicPr>
        <xdr:cNvPr id="543" name="图片 54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4587684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20</xdr:row>
      <xdr:rowOff>12065</xdr:rowOff>
    </xdr:from>
    <xdr:to>
      <xdr:col>4</xdr:col>
      <xdr:colOff>2945130</xdr:colOff>
      <xdr:row>20</xdr:row>
      <xdr:rowOff>2385060</xdr:rowOff>
    </xdr:to>
    <xdr:pic>
      <xdr:nvPicPr>
        <xdr:cNvPr id="544" name="图片 54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4841875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21</xdr:row>
      <xdr:rowOff>12065</xdr:rowOff>
    </xdr:from>
    <xdr:to>
      <xdr:col>4</xdr:col>
      <xdr:colOff>2945130</xdr:colOff>
      <xdr:row>21</xdr:row>
      <xdr:rowOff>2385060</xdr:rowOff>
    </xdr:to>
    <xdr:pic>
      <xdr:nvPicPr>
        <xdr:cNvPr id="545" name="图片 54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5096065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22</xdr:row>
      <xdr:rowOff>12065</xdr:rowOff>
    </xdr:from>
    <xdr:to>
      <xdr:col>4</xdr:col>
      <xdr:colOff>2945130</xdr:colOff>
      <xdr:row>22</xdr:row>
      <xdr:rowOff>2385060</xdr:rowOff>
    </xdr:to>
    <xdr:pic>
      <xdr:nvPicPr>
        <xdr:cNvPr id="546" name="图片 54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535025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23</xdr:row>
      <xdr:rowOff>12065</xdr:rowOff>
    </xdr:from>
    <xdr:to>
      <xdr:col>4</xdr:col>
      <xdr:colOff>2945130</xdr:colOff>
      <xdr:row>23</xdr:row>
      <xdr:rowOff>2385060</xdr:rowOff>
    </xdr:to>
    <xdr:pic>
      <xdr:nvPicPr>
        <xdr:cNvPr id="547" name="图片 54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5604446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24</xdr:row>
      <xdr:rowOff>12065</xdr:rowOff>
    </xdr:from>
    <xdr:to>
      <xdr:col>4</xdr:col>
      <xdr:colOff>2945130</xdr:colOff>
      <xdr:row>24</xdr:row>
      <xdr:rowOff>2385060</xdr:rowOff>
    </xdr:to>
    <xdr:pic>
      <xdr:nvPicPr>
        <xdr:cNvPr id="548" name="图片 54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5858637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25</xdr:row>
      <xdr:rowOff>12065</xdr:rowOff>
    </xdr:from>
    <xdr:to>
      <xdr:col>4</xdr:col>
      <xdr:colOff>2945130</xdr:colOff>
      <xdr:row>25</xdr:row>
      <xdr:rowOff>2385060</xdr:rowOff>
    </xdr:to>
    <xdr:pic>
      <xdr:nvPicPr>
        <xdr:cNvPr id="549" name="图片 54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6112827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26</xdr:row>
      <xdr:rowOff>0</xdr:rowOff>
    </xdr:from>
    <xdr:to>
      <xdr:col>4</xdr:col>
      <xdr:colOff>2945130</xdr:colOff>
      <xdr:row>26</xdr:row>
      <xdr:rowOff>2372995</xdr:rowOff>
    </xdr:to>
    <xdr:pic>
      <xdr:nvPicPr>
        <xdr:cNvPr id="550" name="图片 54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6477381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27</xdr:row>
      <xdr:rowOff>12065</xdr:rowOff>
    </xdr:from>
    <xdr:to>
      <xdr:col>4</xdr:col>
      <xdr:colOff>2945130</xdr:colOff>
      <xdr:row>27</xdr:row>
      <xdr:rowOff>2385060</xdr:rowOff>
    </xdr:to>
    <xdr:pic>
      <xdr:nvPicPr>
        <xdr:cNvPr id="551" name="图片 55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6732778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28</xdr:row>
      <xdr:rowOff>12065</xdr:rowOff>
    </xdr:from>
    <xdr:to>
      <xdr:col>4</xdr:col>
      <xdr:colOff>2945130</xdr:colOff>
      <xdr:row>28</xdr:row>
      <xdr:rowOff>2385060</xdr:rowOff>
    </xdr:to>
    <xdr:pic>
      <xdr:nvPicPr>
        <xdr:cNvPr id="552" name="图片 55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6986968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29</xdr:row>
      <xdr:rowOff>12065</xdr:rowOff>
    </xdr:from>
    <xdr:to>
      <xdr:col>4</xdr:col>
      <xdr:colOff>2945130</xdr:colOff>
      <xdr:row>29</xdr:row>
      <xdr:rowOff>2385060</xdr:rowOff>
    </xdr:to>
    <xdr:pic>
      <xdr:nvPicPr>
        <xdr:cNvPr id="553" name="图片 55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7241159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30</xdr:row>
      <xdr:rowOff>12065</xdr:rowOff>
    </xdr:from>
    <xdr:to>
      <xdr:col>4</xdr:col>
      <xdr:colOff>2945130</xdr:colOff>
      <xdr:row>30</xdr:row>
      <xdr:rowOff>2385060</xdr:rowOff>
    </xdr:to>
    <xdr:pic>
      <xdr:nvPicPr>
        <xdr:cNvPr id="554" name="图片 55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7495349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31</xdr:row>
      <xdr:rowOff>12065</xdr:rowOff>
    </xdr:from>
    <xdr:to>
      <xdr:col>4</xdr:col>
      <xdr:colOff>2945130</xdr:colOff>
      <xdr:row>31</xdr:row>
      <xdr:rowOff>2385060</xdr:rowOff>
    </xdr:to>
    <xdr:pic>
      <xdr:nvPicPr>
        <xdr:cNvPr id="555" name="图片 55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7749540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32</xdr:row>
      <xdr:rowOff>12065</xdr:rowOff>
    </xdr:from>
    <xdr:to>
      <xdr:col>4</xdr:col>
      <xdr:colOff>2945130</xdr:colOff>
      <xdr:row>32</xdr:row>
      <xdr:rowOff>2385060</xdr:rowOff>
    </xdr:to>
    <xdr:pic>
      <xdr:nvPicPr>
        <xdr:cNvPr id="556" name="图片 55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8003730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33</xdr:row>
      <xdr:rowOff>12065</xdr:rowOff>
    </xdr:from>
    <xdr:to>
      <xdr:col>4</xdr:col>
      <xdr:colOff>2945130</xdr:colOff>
      <xdr:row>33</xdr:row>
      <xdr:rowOff>2385060</xdr:rowOff>
    </xdr:to>
    <xdr:pic>
      <xdr:nvPicPr>
        <xdr:cNvPr id="557" name="图片 55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8257921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34</xdr:row>
      <xdr:rowOff>12065</xdr:rowOff>
    </xdr:from>
    <xdr:to>
      <xdr:col>4</xdr:col>
      <xdr:colOff>2945130</xdr:colOff>
      <xdr:row>34</xdr:row>
      <xdr:rowOff>2385060</xdr:rowOff>
    </xdr:to>
    <xdr:pic>
      <xdr:nvPicPr>
        <xdr:cNvPr id="558" name="图片 55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8512111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35</xdr:row>
      <xdr:rowOff>12065</xdr:rowOff>
    </xdr:from>
    <xdr:to>
      <xdr:col>4</xdr:col>
      <xdr:colOff>2945130</xdr:colOff>
      <xdr:row>35</xdr:row>
      <xdr:rowOff>2385060</xdr:rowOff>
    </xdr:to>
    <xdr:pic>
      <xdr:nvPicPr>
        <xdr:cNvPr id="559" name="图片 55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8766302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36</xdr:row>
      <xdr:rowOff>12065</xdr:rowOff>
    </xdr:from>
    <xdr:to>
      <xdr:col>4</xdr:col>
      <xdr:colOff>2945130</xdr:colOff>
      <xdr:row>36</xdr:row>
      <xdr:rowOff>2385060</xdr:rowOff>
    </xdr:to>
    <xdr:pic>
      <xdr:nvPicPr>
        <xdr:cNvPr id="560" name="图片 55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9020492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37</xdr:row>
      <xdr:rowOff>0</xdr:rowOff>
    </xdr:from>
    <xdr:to>
      <xdr:col>4</xdr:col>
      <xdr:colOff>2945130</xdr:colOff>
      <xdr:row>37</xdr:row>
      <xdr:rowOff>2372995</xdr:rowOff>
    </xdr:to>
    <xdr:pic>
      <xdr:nvPicPr>
        <xdr:cNvPr id="561" name="图片 56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930503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38</xdr:row>
      <xdr:rowOff>0</xdr:rowOff>
    </xdr:from>
    <xdr:to>
      <xdr:col>4</xdr:col>
      <xdr:colOff>2945130</xdr:colOff>
      <xdr:row>38</xdr:row>
      <xdr:rowOff>2372995</xdr:rowOff>
    </xdr:to>
    <xdr:pic>
      <xdr:nvPicPr>
        <xdr:cNvPr id="562" name="图片 56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959078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39</xdr:row>
      <xdr:rowOff>0</xdr:rowOff>
    </xdr:from>
    <xdr:to>
      <xdr:col>4</xdr:col>
      <xdr:colOff>2945130</xdr:colOff>
      <xdr:row>39</xdr:row>
      <xdr:rowOff>2372995</xdr:rowOff>
    </xdr:to>
    <xdr:pic>
      <xdr:nvPicPr>
        <xdr:cNvPr id="563" name="图片 56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987653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40</xdr:row>
      <xdr:rowOff>0</xdr:rowOff>
    </xdr:from>
    <xdr:to>
      <xdr:col>4</xdr:col>
      <xdr:colOff>2945130</xdr:colOff>
      <xdr:row>40</xdr:row>
      <xdr:rowOff>2372995</xdr:rowOff>
    </xdr:to>
    <xdr:pic>
      <xdr:nvPicPr>
        <xdr:cNvPr id="564" name="图片 56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016228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41</xdr:row>
      <xdr:rowOff>0</xdr:rowOff>
    </xdr:from>
    <xdr:to>
      <xdr:col>4</xdr:col>
      <xdr:colOff>2945130</xdr:colOff>
      <xdr:row>41</xdr:row>
      <xdr:rowOff>2372995</xdr:rowOff>
    </xdr:to>
    <xdr:pic>
      <xdr:nvPicPr>
        <xdr:cNvPr id="565" name="图片 56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044803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42</xdr:row>
      <xdr:rowOff>0</xdr:rowOff>
    </xdr:from>
    <xdr:to>
      <xdr:col>4</xdr:col>
      <xdr:colOff>2945130</xdr:colOff>
      <xdr:row>42</xdr:row>
      <xdr:rowOff>2372995</xdr:rowOff>
    </xdr:to>
    <xdr:pic>
      <xdr:nvPicPr>
        <xdr:cNvPr id="566" name="图片 56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073378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43</xdr:row>
      <xdr:rowOff>0</xdr:rowOff>
    </xdr:from>
    <xdr:to>
      <xdr:col>4</xdr:col>
      <xdr:colOff>2945130</xdr:colOff>
      <xdr:row>43</xdr:row>
      <xdr:rowOff>2372995</xdr:rowOff>
    </xdr:to>
    <xdr:pic>
      <xdr:nvPicPr>
        <xdr:cNvPr id="567" name="图片 56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101953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44</xdr:row>
      <xdr:rowOff>0</xdr:rowOff>
    </xdr:from>
    <xdr:to>
      <xdr:col>4</xdr:col>
      <xdr:colOff>2945130</xdr:colOff>
      <xdr:row>44</xdr:row>
      <xdr:rowOff>2372995</xdr:rowOff>
    </xdr:to>
    <xdr:pic>
      <xdr:nvPicPr>
        <xdr:cNvPr id="568" name="图片 56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130528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45</xdr:row>
      <xdr:rowOff>0</xdr:rowOff>
    </xdr:from>
    <xdr:to>
      <xdr:col>4</xdr:col>
      <xdr:colOff>2945130</xdr:colOff>
      <xdr:row>45</xdr:row>
      <xdr:rowOff>2372995</xdr:rowOff>
    </xdr:to>
    <xdr:pic>
      <xdr:nvPicPr>
        <xdr:cNvPr id="569" name="图片 56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159103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46</xdr:row>
      <xdr:rowOff>0</xdr:rowOff>
    </xdr:from>
    <xdr:to>
      <xdr:col>4</xdr:col>
      <xdr:colOff>2945130</xdr:colOff>
      <xdr:row>46</xdr:row>
      <xdr:rowOff>2372995</xdr:rowOff>
    </xdr:to>
    <xdr:pic>
      <xdr:nvPicPr>
        <xdr:cNvPr id="570" name="图片 56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187678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47</xdr:row>
      <xdr:rowOff>0</xdr:rowOff>
    </xdr:from>
    <xdr:to>
      <xdr:col>4</xdr:col>
      <xdr:colOff>2945130</xdr:colOff>
      <xdr:row>47</xdr:row>
      <xdr:rowOff>2372995</xdr:rowOff>
    </xdr:to>
    <xdr:pic>
      <xdr:nvPicPr>
        <xdr:cNvPr id="571" name="图片 57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216253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48</xdr:row>
      <xdr:rowOff>0</xdr:rowOff>
    </xdr:from>
    <xdr:to>
      <xdr:col>4</xdr:col>
      <xdr:colOff>2945130</xdr:colOff>
      <xdr:row>48</xdr:row>
      <xdr:rowOff>2372995</xdr:rowOff>
    </xdr:to>
    <xdr:pic>
      <xdr:nvPicPr>
        <xdr:cNvPr id="572" name="图片 57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244828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49</xdr:row>
      <xdr:rowOff>12065</xdr:rowOff>
    </xdr:from>
    <xdr:to>
      <xdr:col>4</xdr:col>
      <xdr:colOff>2945130</xdr:colOff>
      <xdr:row>49</xdr:row>
      <xdr:rowOff>2385060</xdr:rowOff>
    </xdr:to>
    <xdr:pic>
      <xdr:nvPicPr>
        <xdr:cNvPr id="573" name="图片 57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2703683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50</xdr:row>
      <xdr:rowOff>12065</xdr:rowOff>
    </xdr:from>
    <xdr:to>
      <xdr:col>4</xdr:col>
      <xdr:colOff>2945130</xdr:colOff>
      <xdr:row>50</xdr:row>
      <xdr:rowOff>2385060</xdr:rowOff>
    </xdr:to>
    <xdr:pic>
      <xdr:nvPicPr>
        <xdr:cNvPr id="574" name="图片 57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2957873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51</xdr:row>
      <xdr:rowOff>12065</xdr:rowOff>
    </xdr:from>
    <xdr:to>
      <xdr:col>4</xdr:col>
      <xdr:colOff>2945130</xdr:colOff>
      <xdr:row>51</xdr:row>
      <xdr:rowOff>2385060</xdr:rowOff>
    </xdr:to>
    <xdr:pic>
      <xdr:nvPicPr>
        <xdr:cNvPr id="575" name="图片 57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3212064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52</xdr:row>
      <xdr:rowOff>12065</xdr:rowOff>
    </xdr:from>
    <xdr:to>
      <xdr:col>4</xdr:col>
      <xdr:colOff>2945130</xdr:colOff>
      <xdr:row>52</xdr:row>
      <xdr:rowOff>2385060</xdr:rowOff>
    </xdr:to>
    <xdr:pic>
      <xdr:nvPicPr>
        <xdr:cNvPr id="576" name="图片 575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3466254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53</xdr:row>
      <xdr:rowOff>12065</xdr:rowOff>
    </xdr:from>
    <xdr:to>
      <xdr:col>4</xdr:col>
      <xdr:colOff>2945130</xdr:colOff>
      <xdr:row>53</xdr:row>
      <xdr:rowOff>2385060</xdr:rowOff>
    </xdr:to>
    <xdr:pic>
      <xdr:nvPicPr>
        <xdr:cNvPr id="577" name="图片 57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3720445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54</xdr:row>
      <xdr:rowOff>12065</xdr:rowOff>
    </xdr:from>
    <xdr:to>
      <xdr:col>4</xdr:col>
      <xdr:colOff>2945130</xdr:colOff>
      <xdr:row>54</xdr:row>
      <xdr:rowOff>2385060</xdr:rowOff>
    </xdr:to>
    <xdr:pic>
      <xdr:nvPicPr>
        <xdr:cNvPr id="578" name="图片 577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3974635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55</xdr:row>
      <xdr:rowOff>12065</xdr:rowOff>
    </xdr:from>
    <xdr:to>
      <xdr:col>4</xdr:col>
      <xdr:colOff>2945130</xdr:colOff>
      <xdr:row>55</xdr:row>
      <xdr:rowOff>2385060</xdr:rowOff>
    </xdr:to>
    <xdr:pic>
      <xdr:nvPicPr>
        <xdr:cNvPr id="579" name="图片 578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4228826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56</xdr:row>
      <xdr:rowOff>12065</xdr:rowOff>
    </xdr:from>
    <xdr:to>
      <xdr:col>4</xdr:col>
      <xdr:colOff>2945130</xdr:colOff>
      <xdr:row>56</xdr:row>
      <xdr:rowOff>2385060</xdr:rowOff>
    </xdr:to>
    <xdr:pic>
      <xdr:nvPicPr>
        <xdr:cNvPr id="580" name="图片 579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4483016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57</xdr:row>
      <xdr:rowOff>12065</xdr:rowOff>
    </xdr:from>
    <xdr:to>
      <xdr:col>4</xdr:col>
      <xdr:colOff>2945130</xdr:colOff>
      <xdr:row>57</xdr:row>
      <xdr:rowOff>2385060</xdr:rowOff>
    </xdr:to>
    <xdr:pic>
      <xdr:nvPicPr>
        <xdr:cNvPr id="581" name="图片 580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4737207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58</xdr:row>
      <xdr:rowOff>12065</xdr:rowOff>
    </xdr:from>
    <xdr:to>
      <xdr:col>4</xdr:col>
      <xdr:colOff>2945130</xdr:colOff>
      <xdr:row>58</xdr:row>
      <xdr:rowOff>2385060</xdr:rowOff>
    </xdr:to>
    <xdr:pic>
      <xdr:nvPicPr>
        <xdr:cNvPr id="582" name="图片 58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4991397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59</xdr:row>
      <xdr:rowOff>12065</xdr:rowOff>
    </xdr:from>
    <xdr:to>
      <xdr:col>4</xdr:col>
      <xdr:colOff>2945130</xdr:colOff>
      <xdr:row>59</xdr:row>
      <xdr:rowOff>2385060</xdr:rowOff>
    </xdr:to>
    <xdr:pic>
      <xdr:nvPicPr>
        <xdr:cNvPr id="583" name="图片 58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5245588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60</xdr:row>
      <xdr:rowOff>12065</xdr:rowOff>
    </xdr:from>
    <xdr:to>
      <xdr:col>4</xdr:col>
      <xdr:colOff>2945130</xdr:colOff>
      <xdr:row>60</xdr:row>
      <xdr:rowOff>2385060</xdr:rowOff>
    </xdr:to>
    <xdr:pic>
      <xdr:nvPicPr>
        <xdr:cNvPr id="584" name="图片 58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54997785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1442720</xdr:colOff>
      <xdr:row>61</xdr:row>
      <xdr:rowOff>12065</xdr:rowOff>
    </xdr:from>
    <xdr:to>
      <xdr:col>4</xdr:col>
      <xdr:colOff>2945130</xdr:colOff>
      <xdr:row>61</xdr:row>
      <xdr:rowOff>2385060</xdr:rowOff>
    </xdr:to>
    <xdr:pic>
      <xdr:nvPicPr>
        <xdr:cNvPr id="585" name="图片 584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650220" y="157539690"/>
          <a:ext cx="1502410" cy="23729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http:\webmail-ent.21cn.com\ry\crland\&#36130;&#21153;\CRLand\2003&#24180;&#39044;&#31639;\&#26631;&#20934;&#26684;&#24335;\&#26376;&#24230;\6s&#25253;&#34920;&#27169;&#29256;-CRLAND&#24635;&#34920;-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19990;&#32426;&#22478;&#20108;&#26399;\&#19990;&#32426;&#22478;&#20108;&#26399;&#31459;&#24037;&#22270;\&#21326;&#21457;&#19990;&#32426;&#22478;&#20108;&#26399;&#20844;&#23507;&#31934;&#35013;&#20462;&#30707;&#26448;&#37319;&#36141;&#21450;&#23433;&#35013;&#24037;&#31243;&#32467;&#31639;&#28165;&#2133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~&#31859;@&#28548;~(QQ&#36134;&#21495;)\Kingsoft%20Office\Office%20Space\Online%20Documents\&#32467;&#31639;\&#22235;&#23395;&#21517;&#33489;\&#22235;&#23395;&#21517;&#33489;&#38144;&#21806;&#20013;&#24515;\&#19990;&#32426;&#22478;&#22235;&#26399;-&#20116;&#26631;&#27573;&#32467;&#3163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4191;&#24030;&#19975;&#31185;2011&#24180;&#24230;&#26631;\&#24191;&#24030;&#19975;&#31185;2011-2012&#24180;&#24230;&#26631;\&#37329;&#22495;&#34013;&#28286;&#21335;&#21306;&#22253;&#24314;&#35745;&#20215;&#28165;&#21333;(&#27700;&#30005;&#20986;&#22270;&#26085;&#26399;3&#26376;26&#26085;)08-3-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J:\&#19990;&#32426;&#22478;&#20108;&#26399;&#21271;&#21306;\&#19990;&#32426;&#22478;&#20108;&#26399;&#21271;&#21306;&#19969;4.2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&#36164;&#26009;&#25910;&#38598;\&#24037;&#31243;&#36164;&#26009;\&#24037;&#20316;\&#22996;&#25176;&#39033;&#30446;\&#22996;&#25176;&#39033;&#30446;&#32467;&#31639;\&#21378;&#21306;&#36947;&#36335;\&#21378;&#21306;&#38632;&#27700;&#31649;&#36947;&#21644;&#36947;&#36335;&#20915;&#31639;&#2007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4037;&#20316;&#25991;&#20214;-&#40644;&#30365;\&#12304;06&#12305;&#27700;&#37089;3C\&#26223;&#35266;\&#19979;&#20215;\sheet1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&#21326;&#37089;-&#32599;&#37329;&#33909;\&#21326;&#37089;\&#21326;&#37089;-&#39044;&#31639;\&#32599;&#24037;\2015-1-23&#19977;&#26399;A&#21306;1&#12289;2&#26631;&#22253;&#26519;&#26223;&#35266;&#24037;&#31243;&#39044;&#31639;\2015-5-7+&#39044;&#25511;&#35843;&#25972;&#65288;&#21457;&#36213;&#24037;&#65289;\&#22253;&#24314;\RecoveredExternalLink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RENYI\2004&#24180;&#39044;&#31639;\ry\crland\&#36130;&#21153;\CRLand\2003&#24180;&#39044;&#31639;\&#38598;&#22242;&#26032;&#29256;6S\CRLand%202003%20Budget%20(CRC%20Version)-&#26368;&#21518;&#3129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Sfs001\0604&#31918;&#21333;\1hhy\WINDOWS\Desktop\&#32993;&#32418;&#24742;\A_8206A\Floor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192.168.12.179\&#29992;&#25143;&#30446;&#24405;\&#25105;&#30340;&#25991;&#26723;\tencent%20files\1023364451\filerecv\RecoveredExternalLink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30334;&#28789;&#24605;\&#25105;&#30340;&#25991;&#20214;&#22841;\&#25307;&#25237;&#26631;\a&#26631;&#27573;&#25307;&#26631;&#25991;&#20214;2.20\&#24037;&#31243;&#37327;&#28165;&#21333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&#21326;&#37089;-&#32599;&#37329;&#33909;\&#21326;&#37089;\&#21326;&#37089;-&#39044;&#31639;\&#32599;&#24037;\2015-1-23&#19977;&#26399;A&#21306;1&#12289;2&#26631;&#22253;&#26519;&#26223;&#35266;&#24037;&#31243;&#39044;&#31639;\2015-5-7+&#39044;&#25511;&#35843;&#25972;&#65288;&#21457;&#36213;&#24037;&#65289;\&#22253;&#24314;\RecoveredExternalLink3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%20and%20Settings\Administrator\My%20Documents\WeChat%20Files\kennysu2011\Attachment\&#21326;&#21457;&#26032;&#22478;6#&#22320;&#24635;&#21253;&#28165;&#2133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My%20Documents\&#32467;&#31639;&#37096;&#20998;\&#19996;&#38451;&#19977;&#24314;\&#23398;&#26657;\&#35745;&#31639;&#20070;\A06&#21306;B1&#65292;B2&#21035;&#22661;&#65288;&#20462;&#65289;\A06&#21306;%20B1&#22411;&#21035;&#22661;\B1&#24037;&#31243;&#37327;&#35745;&#31639;&#34920;&#65288;&#20462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My%20Documents\&#32467;&#31639;&#37096;&#20998;\&#30465;&#19971;&#24314;\T19~25&#21035;&#22661;&#24037;&#31243;&#37327;\F8~9&#21035;&#22661;\F8~9&#21035;&#22661;\F8~9&#25215;&#2148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Users\houhualei\Desktop\40&#12289;&#21326;&#21457;&#26080;&#38177;\&#26080;&#38177;&#39033;&#30446;&#24635;&#21253;&#27169;&#25311;&#28165;&#21333;\&#35810;&#20215;\DOCUME~1\ADMINI~1\LOCALS~1\Temp\notes87944B\&#34945;&#20891;\&#24037;&#31243;&#36164;&#26009;\&#38598;&#22242;&#36164;&#26009;\&#25104;&#26412;&#31649;&#29702;\&#25104;&#26412;&#19982;&#21512;&#21516;&#31649;&#29702;&#27169;&#22359;\&#20316;&#19994;&#27169;&#26495;\(CF102)&#39033;&#30446;&#24635;&#25104;&#26412;&#36896;&#20215;&#25351;&#26631;&#32479;&#35745;&#3492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9992;&#25143;&#30446;&#24405;\&#25105;&#30340;&#25991;&#26723;\tencent%20files\1023364451\filerecv\RecoveredExternalLink11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~&#31859;@&#28548;~(QQ&#36134;&#21495;)\Kingsoft%20Office\Office%20Space\Online%20Documents\&#32467;&#31639;\&#22235;&#23395;&#21517;&#33489;\&#22235;&#23395;&#21517;&#33489;&#38144;&#21806;&#20013;&#24515;\&#20116;&#26399;4&#26631;&#23460;&#20869;&#30707;&#26448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Sfs001\0604&#31918;&#21333;\WINDOWS\Desktop\&#32993;&#32418;&#24742;\A_8206A\Floorin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NS-w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&#25140;&#35802;\&#27719;&#24635;2003&#24180;&#26032;\1&#26376;\&#38598;&#22242;6S\CRLD990000-6S200301%20jl-21022003%20(Submission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32511;&#27915;&#23665;&#24196;\&#32467;&#31639;\A&#21306;B&#21306;&#32467;&#316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Hp-server\I\CHINA\616\BQ-MEA\MC\HOUSE\REIN_H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6446;&#38182;(&#38472;&#24037;&#65289;\&#27599;&#20116;&#22253;12&#21306;\&#26494;&#19979;&#30427;&#19968;&#36130;&#21153;&#36164;&#26009;\2007&#24180;\&#19975;&#31185;&#25112;&#30053;&#24615;&#21512;&#20316;&#35745;&#30011;\&#28145;&#22323;\&#28145;&#22323;&#31532;&#20116;&#22253;\2007&#24180;12&#26376;28&#26085;\&#19975;&#31185;\&#20869;&#37096;\&#31532;5&#22290;&#25104;&#26412;&#26680;&#31639;&#34920;2007-12-2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Users\ZS\Desktop\&#20027;&#20307;&#24635;&#21253;\7&#12289;&#25307;&#26631;&#25511;&#21046;&#20215;\&#29664;&#28023;&#20844;&#21496;\&#21313;&#23383;&#38376;&#22269;&#38469;&#31038;&#21306;\&#20998;&#39033;&#24037;&#31243;\&#20027;&#20307;\&#32511;&#27915;&#28286;\0&#12289;&#21326;&#21457;&#32511;&#27915;&#28286;&#20027;&#20307;&#24314;&#23433;&#24037;&#31243;&#25307;&#26631;&#25511;&#21046;&#20215;2015.08.07&#65288;&#26681;&#25454;&#20844;&#21496;&#39046;&#23548;&#35201;&#27714;&#22312;20150728&#29256;&#26412;&#30340;&#22522;&#30784;&#19978;+3%25&#65289;\&#21508;&#24037;&#31243;&#25991;&#26723;\&#21335;&#28023;&#31048;&#31119;&#21335;&#28286;&#21322;&#23707;\&#27915;&#27004;\A12b&#23627;&#22411;\A12b&#23627;&#22411;&#32467;&#26500;&#24037;&#31243;&#3732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40644;&#32874;&#65288;&#37325;&#35201;&#25991;&#20214;&#65292;&#21247;&#21024;&#65289;\&#40644;&#32874;\&#21326;&#21457;&#24050;&#23436;&#24037;&#31243;\&#21326;&#21457;&#19990;&#32426;&#22478;&#19968;&#26399;&#26223;&#35266;&#31614;&#35777;(&#20986;&#34917;&#20805;&#21512;&#21516;&#65289;\&#21326;&#21457;&#19990;&#32426;&#22478;&#19968;&#26399;&#22253;&#26519;&#32511;&#21270;&#24037;&#31243;&#34917;&#20805;&#21327;&#35758;081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My%20Documents\&#32467;&#31639;&#37096;&#20998;\&#30465;&#19971;&#24314;\&#32467;&#31639;&#35745;&#31639;&#20070;\&#20013;&#22825;&#19977;&#37096;\T--&#22411;&#21035;&#22661;\T&#22411;&#21035;&#22661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19977;&#26399;\&#19977;&#26399;&#39044;&#31639;\&#21326;&#21457;&#29983;&#24577;&#22253;&#27700;\07.03.05&#20013;&#23665;&#21035;&#22661;&#27700;&#26223;&#27700;\07.01.10\&#21326;&#21457;&#19968;&#26399;&#21035;&#22661;&#23460;&#22806;&#27700;&#35745;&#31639;&#24335;07&#12290;01&#12290;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\Tencent%20Files\553708011\FileRecv\RecoveredExternalLink35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\Tencent%20Files\553708011\FileRecv\RecoveredExternalLink37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\Tencent%20Files\553708011\FileRecv\RecoveredExternalLink39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32929;&#20221;%20%20%20%20%20&#25104;&#26412;&#31649;&#29702;&#24037;&#20316;&#25991;&#20214;\6.&#23453;&#23703;&#22823;&#36947;\&#20027;&#20307;&#24635;&#21253;&#25307;&#26631;&#25511;&#21046;&#20215;\&#21442;&#32771;&#36164;&#26009;\&#29664;&#28023;&#20844;&#21496;\&#21313;&#23383;&#38376;&#22269;&#38469;&#31038;&#21306;\&#20998;&#39033;&#24037;&#31243;\&#20027;&#20307;\&#32511;&#27915;&#28286;\0&#12289;&#21326;&#21457;&#32511;&#27915;&#28286;&#20027;&#20307;&#24314;&#23433;&#24037;&#31243;&#25307;&#26631;&#25511;&#21046;&#20215;2015.08.07&#65288;&#26681;&#25454;&#20844;&#21496;&#39046;&#23548;&#35201;&#27714;&#22312;20150728&#29256;&#26412;&#30340;&#22522;&#30784;&#19978;+3%25&#65289;\&#21508;&#24037;&#31243;&#25991;&#26723;\&#21335;&#28023;&#31048;&#31119;&#21335;&#28286;&#21322;&#23707;\&#27915;&#27004;\A12b&#23627;&#22411;\A12b&#23627;&#22411;&#32467;&#26500;&#24037;&#31243;&#37327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4037;&#20316;\&#22826;&#20179;&#37202;&#24215;&#39033;&#30446;\03.&#24635;&#21253;\&#26631;&#24213;&#21021;&#31295;\&#22826;&#20179;&#31185;&#25945;&#26032;&#22478;&#21830;&#19994;&#12289;&#37202;&#24215;&#39033;&#30446;&#24635;&#21253;&#24037;&#31243;&#26631;&#24213;&#21021;&#31295;2018.3.30-3\wzh\&#27969;&#31243;&#25991;&#20214;&#20462;&#35746;\&#25237;&#36164;&#29256;&#22359;\&#25237;&#20837;&#20135;&#20986;&#34920;070626\&#25237;&#20837;&#20135;&#20986;&#34920;(1-4&#24180;,&#21608;&#26399;&#20026;&#23395;&#24230;)&#27169;&#29256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\Tencent%20Files\553708011\FileRecv\RecoveredExternalLink38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L:\101.&#21326;&#21457;&#26032;&#22478;&#20116;&#26399;&#26679;&#26495;&#25151;&#22253;&#24314;&#24037;&#31243;(&#21547;&#22312;1&#26631;&#27573;&#22253;&#24314;&#32467;&#31639;)&#12304;2014-01-09&#12305;\&#32511;&#27915;&#22320;&#19979;&#23460;&#28034;&#26009;\A&#21306;\&#32511;&#27915;A&#21306;&#22320;&#19979;&#23460;&#28034;&#2600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http:\webmail-ent.21cn.com\WINDOWS\TEMP\&#19978;&#28070;&#39044;&#31639;v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0313;&#27589;&#28304;\&#24037;&#31243;&#37327;&#35745;&#31639;&#24335;\&#24037;&#31243;&#37327;&#35745;&#31639;(&#27169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D:\&#30334;&#28789;&#24605;\&#25105;&#30340;&#25991;&#20214;&#22841;\&#25307;&#25237;&#26631;\a&#26631;&#27573;&#25307;&#26631;&#25991;&#20214;2.20\&#24037;&#31243;&#37327;&#28165;&#2133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Users\ZS\Desktop\&#20027;&#20307;&#24635;&#21253;\7&#12289;&#25307;&#26631;&#25511;&#21046;&#20215;\NS-wal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&#24037;&#20316;\&#22826;&#20179;&#37202;&#24215;&#39033;&#30446;\03.&#24635;&#21253;\&#26631;&#24213;&#21021;&#31295;\&#22826;&#20179;&#31185;&#25945;&#26032;&#22478;&#21830;&#19994;&#12289;&#37202;&#24215;&#39033;&#30446;&#24635;&#21253;&#24037;&#31243;&#26631;&#24213;&#21021;&#31295;2018.3.30-3\file:\Sjb-zz\&#24037;&#20316;&#25991;&#20214;\&#29616;&#37329;&#27969;\&#21488;&#28246;2-&#29616;&#37329;&#27969;\&#12304;&#25104;&#26524;&#12305;&#21488;&#28246;2#-&#29616;&#37329;&#27969;-&#25104;&#26412;&#27719;&#24635;-&#23376;&#34920;&#65288;&#27169;&#26495;&#65289;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ZXM\&#21830;&#21153;&#37096;&#36164;&#26009;\&#25105;&#30340;&#31169;&#20154;&#25991;&#20214;\&#39044;&#31639;&#33258;&#21160;&#21270;%20(3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016;&#21033;&#21033;\A%20&#21326;&#21457;\1&#12289;&#39044;&#31639;\&#21326;&#21457;&#27700;&#37089;\&#12304;20200403&#25910;&#12305;&#21326;&#21457;&#27700;&#37089;&#33457;&#22253;&#19977;&#26399;C&#21306;50&#26635;&#26679;&#26495;&#21306;&#26223;&#35266;&#24037;&#31243;\2&#12289;&#30002;&#26041;&#21457;&#26377;&#20215;&#29256;&#26412;\&#20013;&#33322;&#33457;&#22253;\&#32599;&#23450;&#20975;&#26059;&#24191;&#22330;-C&#26635;--&#27700;&#30005;-&#35745;&#31639;&#25163;&#31295;&#26684;&#24335;-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&#38472;&#20271;&#22362;\&#20975;&#33589;&#24037;&#31243;\&#20975;&#33589;&#26032;&#22478;&#32467;&#31639;\&#20975;&#33589;&#26032;&#22478;A02&#21306;&#23567;&#22411;&#21830;&#19994;&#24191;&#22330;\A&#26635;\b2#&#21830;&#38138;&#27700;&#30005;&#23433;&#35013;&#35745;&#31639;&#31295;2.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L:\&#27494;&#27721;\2007&#24180;&#24230;&#24037;&#31243;\0802&#20013;&#20896;&#22823;&#21414;\&#25253;&#20215;\&#25253;&#20215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20&#22826;&#20179;&#39033;&#30446;\14&#22303;&#24314;&#24635;&#25215;&#21253;&#24037;&#31243;\05&#23450;&#26631;&#21450;&#28165;&#26631;\&#21512;&#21516;&#20215;-&#30005;&#23376;&#29256;(&#22686;&#20540;&#31246;&#29575;10%25)\My%20Documents\0902\11&#26376;&#20221;&#30707;&#26448;&#38138;&#35013;&#36827;&#24230;&#65288;&#20013;&#38081;&#6528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\Tencent%20Files\24077551\FileRecv\LXL\&#24037;&#31243;&#35745;&#31639;&#34920;\&#21326;&#21457;&#24037;&#31243;\&#21326;&#26126;&#25913;&#25193;&#24314;\&#29664;&#28023;&#21326;&#26126;&#25913;&#25193;&#24314;&#24037;&#31243;-&#23454;&#39564;&#27004;\&#30002;&#20379;&#26448;%20&#65288;&#21326;&#21457;&#26684;&#24335;&#65289;\&#30002;&#20379;&#26448;\&#29943;&#30742;(&#21512;&#21516;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LXL\&#24037;&#31243;&#35745;&#31639;&#34920;\&#21326;&#21457;&#24037;&#31243;\&#21326;&#26126;&#25913;&#25193;&#24314;\&#29664;&#28023;&#21326;&#26126;&#25913;&#25193;&#24314;&#24037;&#31243;-&#23454;&#39564;&#27004;\&#30002;&#20379;&#26448;%20&#65288;&#21326;&#21457;&#26684;&#24335;&#65289;\&#30002;&#20379;&#26448;\&#29943;&#30742;(&#21512;&#21516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9992;&#25143;&#30446;&#24405;\&#25105;&#30340;&#25991;&#26723;\tencent%20files\1023364451\filerecv\RecoveredExternalLink16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192.168.0.166\&#26412;&#22320;&#30913;&#30424;%20(d)\&#25105;&#30340;&#24037;&#20316;\&#28145;&#22323;&#25104;&#26412;\&#25307;&#26631;\&#38109;&#21512;&#37329;&#25112;&#30053;&#37319;&#36141;\&#26631;&#20934;&#21270;&#38109;&#21512;&#37329;&#38376;&#31383;&#25253;&#20215;&#28165;&#21333;Rev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L:\&#21608;&#29756;&#22791;&#20221;\2010&#24180;&#24050;&#23436;&#25104;&#25253;&#20215;\&#19977;&#20122;\zh\&#20010;&#20154;&#25253;&#20215;\8\20070817&#28145;&#22323;&#24066;&#20844;&#23433;&#23616;\&#22826;&#24179;&#20154;&#23551;&#20840;&#22269;&#21518;&#25588;&#20013;&#24515;(&#19968;&#26399;)(&#20302;&#22269;)&#20219;&#36798;&#25253;&#2021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Z:\&#26494;&#19979;&#30427;&#19968;&#36130;&#21153;&#36164;&#26009;\2007&#24180;\&#19975;&#31185;&#25112;&#30053;&#24615;&#21512;&#20316;&#35745;&#30011;\&#28145;&#22323;\&#28145;&#22323;&#31532;&#20116;&#22253;\2007&#24180;12&#26376;28&#26085;\&#19975;&#31185;\&#31532;5&#22290;&#39044;&#31639;&#31995;&#32479;2007-12-2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9664;&#28023;&#20844;&#21496;\&#21313;&#23383;&#38376;&#22269;&#38469;&#31038;&#21306;\&#20998;&#39033;&#24037;&#31243;\&#20027;&#20307;\&#32511;&#27915;&#28286;\0&#12289;&#21326;&#21457;&#32511;&#27915;&#28286;&#20027;&#20307;&#24314;&#23433;&#24037;&#31243;&#25307;&#26631;&#25511;&#21046;&#20215;2015.08.07&#65288;&#26681;&#25454;&#20844;&#21496;&#39046;&#23548;&#35201;&#27714;&#22312;20150728&#29256;&#26412;&#30340;&#22522;&#30784;&#19978;+3%25&#65289;\&#21508;&#24037;&#31243;&#25991;&#26723;\&#21335;&#28023;&#31048;&#31119;&#21335;&#28286;&#21322;&#23707;\&#27915;&#27004;\A12b&#23627;&#22411;\A12b&#23627;&#22411;&#32467;&#26500;&#24037;&#31243;&#37327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L:\101.&#21326;&#21457;&#26032;&#22478;&#20116;&#26399;&#26679;&#26495;&#25151;&#22253;&#24314;&#24037;&#31243;(&#21547;&#22312;1&#26631;&#27573;&#22253;&#24314;&#32467;&#31639;)&#12304;2014-01-09&#12305;\&#20116;&#26399;&#20869;&#22681;&#30707;&#26448;\6&#26631;8&#26631;&#23460;&#20869;&#30707;&#26448;\&#20116;&#26399;6&#26631;&#23460;&#20869;&#30707;&#26448;\&#21326;&#21457;&#19990;&#32426;&#22478;&#20108;&#26399;\&#19990;&#32426;&#22478;&#20108;&#26399;&#31459;&#24037;&#22270;\&#21326;&#21457;&#19990;&#32426;&#22478;&#20108;&#26399;&#20844;&#23507;&#31934;&#35013;&#20462;&#30707;&#26448;&#37319;&#36141;&#21450;&#23433;&#35013;&#24037;&#31243;&#32467;&#31639;&#28165;&#2133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9664;&#28023;&#20844;&#21496;\&#21313;&#23383;&#38376;&#22269;&#38469;&#31038;&#21306;\&#20998;&#39033;&#24037;&#31243;\&#20027;&#20307;\&#32511;&#27915;&#28286;\0&#12289;&#21326;&#21457;&#32511;&#27915;&#28286;&#20027;&#20307;&#24314;&#23433;&#24037;&#31243;&#25307;&#26631;&#25511;&#21046;&#20215;2015.08.07&#65288;&#26681;&#25454;&#20844;&#21496;&#39046;&#23548;&#35201;&#27714;&#22312;20150728&#29256;&#26412;&#30340;&#22522;&#30784;&#19978;+3%25&#65289;\&#20174;&#21270;&#24066;&#20052;&#23433;&#27004;&#23567;&#21306;\&#22320;&#19978;&#24037;&#31243;&#37327;&#35745;&#31639;&#3492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4037;&#20316;&#22841;\&#21326;&#21457;&#32467;&#31639;&#36164;&#26009;\&#21326;&#21457;&#26032;&#22478;&#19977;&#26399;&#32467;&#31639;\&#26408;&#22320;&#26495;&#32467;&#31639;\&#26408;&#22320;&#26495;&#32467;&#31639;10.9&#37325;&#21457;\&#26408;&#22320;&#26495;&#32467;&#31639;&#65288;2009-9-23&#65289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0840;&#36807;&#31243;\&#21326;&#21457;&#26080;&#20215;&#29256;&#28165;&#21333;2017-12-4\&#26377;&#20215;&#29256;&#28165;&#21333;-2017-12-8\&#21326;&#21457;2017-11-30\4&#12289;&#36716;&#21457;&#65306;&#33459;&#20449;&#36335;&#22320;&#22359;&#39033;&#30446;&#33258;&#32534;3-9&#21495;&#27004;&#20027;&#20307;&#24037;&#31243;&#35843;&#25972;&#21512;&#21516;&#20215;&#28165;&#21333;&#65288;3-7#&#27004;&#37325;&#35745;&#37327;&#65289;\&#21326;&#21457;&#23453;&#23703;&#22823;&#36947;&#39033;&#30446;&#27169;&#25311;&#28165;&#21333;2017&#24180;&#65288;&#26410;&#19978;&#28014;&#6528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Sjb-zz\&#27888;&#31166;\6&#12289;&#21271;&#20140;&#24037;&#20316;\&#22823;&#20852;&#39033;&#30446;\01%20&#21488;&#28246;1%20&#21512;&#21516;&#21488;&#36134;\&#21271;&#20140;&#20013;&#32500;&#32622;&#19994;&#39033;&#30446;&#21512;&#21516;&#21488;&#24080;2014.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1326;&#21457;&#23453;&#23703;&#22823;&#36947;&#39033;&#30446;\&#22522;&#22353;&#25903;&#25252;&#12289;&#26729;&#22522;&#30784;\20170909&#23545;&#25968;&#35843;&#25972;\5&#12289;&#20303;&#23429;&#21306;&#26729;&#22522;&#30784;&#25307;&#25511;&#20215;\&#32929;&#20221;&#23457;&#26680;\Program%20Files\Tencent\QQ\Users\435708419\FileRecv\Documents%20and%20Settings\meiou\&#26700;&#38754;\&#21326;&#26126;&#31185;&#25216;\&#21326;&#26126;&#31185;&#25216;\&#39046;&#23548;&#36710;&#20301;&#22522;&#307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http:\webmail-ent.21cn.com\ry\crland\&#36130;&#21153;\CRLand\2002&#24180;&#39044;&#31639;\&#26631;&#20934;&#26684;&#24335;\&#30707;&#26757;&#28286;-6S&#39044;&#3163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My%20Documents\0902\11&#26376;&#20221;&#30707;&#26448;&#38138;&#35013;&#36827;&#24230;&#65288;&#20013;&#38081;&#65289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9992;&#25143;&#30446;&#24405;\&#25105;&#30340;&#25991;&#26723;\tencent%20files\1023364451\filerecv\RecoveredExternalLink4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Documents\WeChat%20Files\kikaRdsb\FileStorage\File\2024-12\tablet\Download\Cache\WpsOffice\Users\luoyuliu\Downloads\J:\&#21326;&#21457;&#22303;&#24314;\&#22303;&#24314;3&#26631;&#27573;&#23545;&#25968;\3&#26631;&#27573;&#23545;&#25968;&#27719;&#24635;&#31295;&#65288;&#19982;&#30002;&#26041;&#23545;&#25968;&#21069;08.14)\&#20303;&#23429;&#22612;&#27004;&#35013;&#39280;&#24037;&#31243;&#37327;&#26032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Documents\Tencent%20Files\1102000795\FileRecv\&#26519;&#25391;&#22362;\&#24037;&#31243;&#39044;&#31639;\&#21326;&#21457;&#27700;&#23736;&#33457;&#22253;&#24635;&#22270;&#25490;&#27700;\LXL\&#24037;&#31243;&#35745;&#31639;&#34920;\&#21326;&#21457;&#24037;&#31243;\&#21326;&#26126;&#25913;&#25193;&#24314;\&#29664;&#28023;&#21326;&#26126;&#25913;&#25193;&#24314;&#24037;&#31243;-&#23454;&#39564;&#27004;\&#30002;&#20379;&#26448;%20&#65288;&#21326;&#21457;&#26684;&#24335;&#65289;\&#30002;&#20379;&#26448;\&#29943;&#30742;(&#21512;&#21516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Yangwu\&#20315;&#23665;&#19975;&#31185;&#37329;&#22495;&#21326;&#24237;\&#19975;&#31185;&#24037;&#31243;\&#26032;&#22478;&#20108;&#26399;&#36896;&#20215;&#31649;&#29702;&#24037;&#31243;\&#25307;&#25237;&#26631;&#24037;&#20316;\&#38109;&#21512;&#37329;&#24037;&#31243;\1&#12289;2#&#27004;&#38109;&#21512;&#37329;&#24037;&#31243;\1.2#&#27004;&#31185;&#28304;&#26368;&#32456;&#28165;&#21333;&#29256;\CHEN\&#20844;&#36335;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tablet\Download\Cache\WpsOffice\Shiba2004\&#27611;&#12373;&#12435;&#12510;&#12471;&#12531;&#12398;Backup\&#35373;&#35336;&#25991;&#26360;\&#20445;&#23432;&#25991;&#26360;\61F\9-&#65420;&#65383;&#65394;&#65433;&#35373;&#35336;\2-&#65434;&#65402;&#65392;&#65412;&#65438;&#65420;&#65387;&#65392;&#65423;&#65391;&#65412;(PS)\2-&#20869;&#37096;&#65420;&#65383;&#65394;&#65433;\lengthcalc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\Documents\WeChat%20Files\kikaRdsb\FileStorage\File\2024-12\&#26222;&#37030;&#25253;&#20215;\&#26032;&#24314;&#25991;&#20214;&#22841;\&#22253;&#24314;&#27700;&#30005;&#24037;&#31243;\&#26102;&#20195;&#22806;&#28393;&#27891;&#27744;&#65288;&#20462;&#25913;&#29256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s"/>
      <sheetName val="目录"/>
      <sheetName val="损益表(一般)-1"/>
      <sheetName val="营业额分析表-2"/>
      <sheetName val="毛利率分析表-4"/>
      <sheetName val="经营利润分析表-5"/>
      <sheetName val="经营利润表-明细-5-1-CRLD610000"/>
      <sheetName val="经营利润表-明细-5-1-CRLD210000"/>
      <sheetName val="P2"/>
      <sheetName val="经营利润表-明细-5-1-CRLD220000"/>
      <sheetName val="经营利润表-明细-5-1-CRLD230000"/>
      <sheetName val="经营利润表-明细-5-1-CRLD240000"/>
      <sheetName val="经营利润表-明细-5-1-CRLD250000"/>
      <sheetName val="经营利润表-明细-5-1-CRLD260000"/>
      <sheetName val="经营利润表-明细-5-1-CRLD270000"/>
      <sheetName val="经营利润表-明细-5-1-CRLD620000"/>
      <sheetName val="经营利润表-明细-5-1-CRLD630000"/>
      <sheetName val="经营利润表-明细-5-1-CRLD640000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其它经营收入分析表-20"/>
      <sheetName val="非经营性收入及支出分析表-23"/>
      <sheetName val="财务收支分析表-24"/>
      <sheetName val="资产负债表-26"/>
      <sheetName val="资金情况表-27"/>
      <sheetName val="应收帐款周转天数表-按利润中心-29"/>
      <sheetName val="应收帐款表-按利润中心-30"/>
      <sheetName val="资本性支出表-35"/>
      <sheetName val="资本承担及或有负债-43"/>
      <sheetName val="财务比率分析表-63"/>
      <sheetName val="现金流量表-45"/>
      <sheetName val="Validation"/>
      <sheetName val="T2损益表(北京)-1-1"/>
      <sheetName val="T2损益表(上诲)-1-2"/>
      <sheetName val="T2损益表(成都)-1-3"/>
      <sheetName val="T2损益表(香港)-1-4"/>
      <sheetName val="T2本月物业销售分析表"/>
      <sheetName val="T2本年累计物业销售分析表"/>
      <sheetName val="T2物业管理分析表"/>
      <sheetName val="T2出租物业分析表"/>
      <sheetName val="T2会所收入分析表"/>
      <sheetName val="T2销售公司收入分析表"/>
      <sheetName val="T2总成本分析表"/>
      <sheetName val="T2成本分析-香港公司"/>
      <sheetName val="T2成本分析-北京物业销售汇总"/>
      <sheetName val="T2成本分析-北京总部"/>
      <sheetName val="T2成本分析-北京项目"/>
      <sheetName val="T2成本分析-上诲项目"/>
      <sheetName val="T2成本分析-成都项目"/>
      <sheetName val="T2成本分析-物业管理"/>
      <sheetName val="T2成本分析-出租物业"/>
      <sheetName val="T2成本分析-会所"/>
      <sheetName val="T2成本分析-其他收入"/>
      <sheetName val="T2项目成本分析表"/>
      <sheetName val="T2项目资金占庄分析表"/>
      <sheetName val="T2按揭应收帐分析表"/>
      <sheetName val="T2银行贷款分析表"/>
      <sheetName val="T2房屋明细及土地储备表"/>
      <sheetName val="T2现金流量表-直接法-汇总"/>
      <sheetName val="T2现金流量表-直接法-北京公司"/>
      <sheetName val="T2现金流量表-直接法-上诲公司"/>
      <sheetName val="T2现金流量表-直接法-成都公司"/>
      <sheetName val="T2现金流量表-直接法-香港本部"/>
      <sheetName val="BS-Dummy"/>
      <sheetName val="打印目录"/>
      <sheetName val="CRL"/>
      <sheetName val="CRLBJ"/>
      <sheetName val="总部费用"/>
      <sheetName val="项目费用"/>
      <sheetName val="Sheet38"/>
      <sheetName val="单方成本测算(帐面)"/>
      <sheetName val="成本结转表(IFRS)"/>
      <sheetName val="基础资料（B）"/>
      <sheetName val="CFS"/>
      <sheetName val="CJA 2006"/>
      <sheetName val="报表项目基本情况表"/>
      <sheetName val="PL 2007"/>
      <sheetName val="PL 2005"/>
      <sheetName val="PL 2006"/>
      <sheetName val="成本测算"/>
      <sheetName val="营销费用预算"/>
      <sheetName val="合同付款"/>
      <sheetName val="营销合约"/>
      <sheetName val="成本项目"/>
      <sheetName val="1.资金支付台帐"/>
      <sheetName val="成本台帐"/>
      <sheetName val="1.规划及施工面积"/>
      <sheetName val="5201.2004"/>
      <sheetName val="建筑单价表"/>
      <sheetName val="General"/>
      <sheetName val="模板"/>
      <sheetName val="综合单价汇总表"/>
      <sheetName val="总措施项目"/>
      <sheetName val="清单"/>
      <sheetName val="清单汇总"/>
      <sheetName val="Aging Datasheet"/>
      <sheetName val="ECCS_1 DataSheet"/>
      <sheetName val="KPI Datasheet"/>
      <sheetName val="地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报告"/>
      <sheetName val="汇总表 "/>
      <sheetName val="移交表"/>
      <sheetName val="资料移交"/>
      <sheetName val="签证"/>
      <sheetName val="Sheet1"/>
      <sheetName val="12栋收方总方数"/>
      <sheetName val="合同对比"/>
      <sheetName val="收方对比"/>
      <sheetName val="增减部分"/>
      <sheetName val="二标采购"/>
      <sheetName val="三标采购"/>
      <sheetName val="四标采购"/>
      <sheetName val="五标采购"/>
      <sheetName val="六七标采购"/>
      <sheetName val="M2采购"/>
      <sheetName val="M2安装"/>
      <sheetName val="二标安装"/>
      <sheetName val="三标安装"/>
      <sheetName val="四标安装"/>
      <sheetName val="五标安装"/>
      <sheetName val="六七标安装"/>
      <sheetName val="安装单价"/>
      <sheetName val="其他户型安装"/>
      <sheetName val="3标(4)月份"/>
      <sheetName val="#REF!"/>
      <sheetName val="B1-03"/>
      <sheetName val="六标洋房"/>
      <sheetName val="Macro1"/>
      <sheetName val="184栋外墙涂料"/>
      <sheetName val="1"/>
      <sheetName val="H型 (6+1双拼)"/>
      <sheetName val="L型单拼36"/>
      <sheetName val="L型单拼33"/>
      <sheetName val="M型双拼40、41"/>
      <sheetName val="M型三拼37、38、39"/>
      <sheetName val="门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分栋"/>
      <sheetName val="封面"/>
      <sheetName val="报告"/>
      <sheetName val="结算总表 "/>
      <sheetName val="附件汇总"/>
      <sheetName val="变更"/>
      <sheetName val="图纸目录"/>
      <sheetName val="资料移交"/>
      <sheetName val="144"/>
      <sheetName val="报价"/>
      <sheetName val="封面 (2)"/>
      <sheetName val="清单汇总"/>
      <sheetName val="汇总"/>
      <sheetName val="144结算书"/>
      <sheetName val="145结算书"/>
      <sheetName val="缺漏项"/>
      <sheetName val="罚款单（新）"/>
      <sheetName val="外墙 (130栋)  "/>
      <sheetName val="#REF!"/>
      <sheetName val="总栋号统计"/>
      <sheetName val="清单名称"/>
      <sheetName val="二标采购"/>
      <sheetName val="B1-03"/>
      <sheetName val="清单"/>
      <sheetName val="184栋外墙涂料"/>
      <sheetName val="H型 (6+1双拼)"/>
      <sheetName val="Sheetl"/>
      <sheetName val="L型单拼36"/>
      <sheetName val="L型单拼33"/>
      <sheetName val="M型双拼40、41"/>
      <sheetName val="M型三拼37、38、39"/>
      <sheetName val="门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编辑说明"/>
      <sheetName val="汇总表"/>
      <sheetName val="金域蓝湾南区园林工程(水电)"/>
      <sheetName val="给排水工程量计算书"/>
      <sheetName val="给排水数据汇总"/>
      <sheetName val="电气工程量计算书"/>
      <sheetName val="电气数据汇总"/>
      <sheetName val="#REF!"/>
      <sheetName val="sheet2"/>
      <sheetName val="工程量计算"/>
      <sheetName val="1标段汇总表"/>
      <sheetName val="门窗表"/>
      <sheetName val="工程量表"/>
      <sheetName val="总栋号统计"/>
      <sheetName val="工程量计算表"/>
      <sheetName val="骨浆计算式(备)"/>
      <sheetName val="外墙 (130栋)  "/>
      <sheetName val="第三方负责金额"/>
      <sheetName val="零星"/>
      <sheetName val="价格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整体部分"/>
      <sheetName val="Sheet1"/>
      <sheetName val="结构"/>
      <sheetName val="装饰"/>
      <sheetName val="公共部分饰面"/>
      <sheetName val="公共结构"/>
      <sheetName val="结构编制说明"/>
      <sheetName val="饰面编制说明 "/>
      <sheetName val="1"/>
      <sheetName val="门窗表"/>
      <sheetName val="计算式明细"/>
      <sheetName val="骨浆计算式(备)"/>
      <sheetName val="#REF!"/>
      <sheetName val="sum(Flooring )"/>
      <sheetName val="地梁"/>
      <sheetName val="下拉菜单"/>
      <sheetName val="柱计算"/>
      <sheetName val="总栋号统计"/>
      <sheetName val="EVALUATE电梯集水井、风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编制说明"/>
      <sheetName val="汇总表"/>
      <sheetName val="土石方费用表"/>
      <sheetName val="费用表"/>
      <sheetName val="预算表"/>
      <sheetName val="材料表"/>
      <sheetName val="机械表"/>
      <sheetName val="工程量表"/>
      <sheetName val="单位"/>
      <sheetName val="说明与问题"/>
      <sheetName val="门窗表"/>
      <sheetName val="厨厕通用"/>
      <sheetName val="地坪"/>
      <sheetName val="厂区雨水管道和道路决算书"/>
      <sheetName val="#REF!"/>
      <sheetName val="建筑面积 "/>
      <sheetName val="21"/>
      <sheetName val="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屋项格栅"/>
      <sheetName val="屋项玻璃"/>
      <sheetName val="屋项铝单板"/>
      <sheetName val="单位"/>
      <sheetName val="价格表 "/>
      <sheetName val="Sheet1"/>
      <sheetName val="总栋号统计"/>
      <sheetName val="清单名称"/>
      <sheetName val="门窗表"/>
      <sheetName val="柱计算"/>
      <sheetName val="清单汇总"/>
      <sheetName val="骨浆计算式(备)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um(Flooring )"/>
      <sheetName val="汇总表"/>
      <sheetName val="finishing6-34"/>
      <sheetName val="finishing35-36"/>
      <sheetName val="finishing37"/>
      <sheetName val="finishing38"/>
      <sheetName val="finishingR"/>
      <sheetName val="finishingWT_UR"/>
      <sheetName val="classification(Flooring)"/>
      <sheetName val="#REF!"/>
      <sheetName val="骨浆计算式(备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s"/>
      <sheetName val="目录"/>
      <sheetName val="损益表(一般)-1"/>
      <sheetName val="营业额分析表-2"/>
      <sheetName val="毛利率分析表-4"/>
      <sheetName val="经营利润分析表-5"/>
      <sheetName val="经营利润表-明细-5-1-CRLD610000"/>
      <sheetName val="经营利润表-明细-5-1-CRLD210000"/>
      <sheetName val="经营利润表-明细-5-1-CRLD220000"/>
      <sheetName val="经营利润表-明细-5-1-CRLD230000"/>
      <sheetName val="经营利润表-明细-5-1-CRLD240000物业管理"/>
      <sheetName val="经营利润表-明细-5-1-CRLD250000租务"/>
      <sheetName val="经营利润表-明细-5-1-CRLD260000其他收入"/>
      <sheetName val="经营利润表-明细-5-1-CRLD270000会所"/>
      <sheetName val="经营利润表-明细-5-1-CRLD620000"/>
      <sheetName val="经营利润表-明细-物业销售-上海"/>
      <sheetName val="经营利润表-明细-物业管理-上海"/>
      <sheetName val="经营利润表-明细-租金收入-上海"/>
      <sheetName val="经营利润表-明细-5-1-CRLD630000"/>
      <sheetName val="经营利润表-明细-物业销售-成都"/>
      <sheetName val="经营利润表-明细-物业管理-成都"/>
      <sheetName val="经营利润表-明细-租金收入-成都"/>
      <sheetName val="经营利润表-明细-5-1-CRLD640000"/>
      <sheetName val="营业额分析-物业销售-北京"/>
      <sheetName val="营业额分析-物业销售-上海"/>
      <sheetName val="营业额分析-物业销售-成都"/>
      <sheetName val="营业额分析表-物业出租-北京"/>
      <sheetName val="营业额分析表-物业出租-上海"/>
      <sheetName val="营业额分析表-物业出租-成都"/>
      <sheetName val="营业额分析表-会所收入-北京"/>
      <sheetName val="营业额分析表-物业管理收入-北京"/>
      <sheetName val="营业额分析表-物业管理收入-上海"/>
      <sheetName val="营业额分析表-物业管理收入-成都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成本及费用-汇总"/>
      <sheetName val="成本及费用-北京"/>
      <sheetName val="成本及费用-转让土地-北京"/>
      <sheetName val="成本及费用-出售物业发展权-北京"/>
      <sheetName val="成本及费用-物业销售-北京"/>
      <sheetName val="成本及费用-物业管理-北京"/>
      <sheetName val="成本及费用-租金收入-北京"/>
      <sheetName val="成本及费用-其他收入-北京"/>
      <sheetName val="成本及费用-会所收入-北京"/>
      <sheetName val="成本及费用-上海"/>
      <sheetName val="成本及费用-物业销售-上海"/>
      <sheetName val="成本及费用-物业管理-上海"/>
      <sheetName val="成本及费用-租金收入-上海"/>
      <sheetName val="成本及费用-成都"/>
      <sheetName val="成本及费用-物业销售-成都"/>
      <sheetName val="成本及费用-物业管理-成都"/>
      <sheetName val="成本及费用-租金收入-成都"/>
      <sheetName val="成本及费用-香港本部"/>
      <sheetName val="其它经营收入分析表-20"/>
      <sheetName val="其他收入分析表-北京"/>
      <sheetName val="其他收入分析表-转让土地-北京"/>
      <sheetName val="其他收入分析表-出售物业发展权-北京"/>
      <sheetName val="其他收入分析表-物业销售-北京"/>
      <sheetName val="其他收入分析表-物业管理-北京"/>
      <sheetName val="其他收入分析表-租金收入-北京"/>
      <sheetName val="其他收入分析表-其他收入-北京"/>
      <sheetName val="其他收入分析表-会所收入-北京"/>
      <sheetName val="其他收入分析表-上海"/>
      <sheetName val="其他收入分析表-物业销售-上海"/>
      <sheetName val="其他收入分析表-物业管理-上海"/>
      <sheetName val="其他收入分析表-租金收入-上海"/>
      <sheetName val="其他收入分析表-成都"/>
      <sheetName val="其他收入分析表-物业销售-成都"/>
      <sheetName val="其他收入分析表-物业管理-成都"/>
      <sheetName val="其他收入分析表-租金收入-成都"/>
      <sheetName val="其他收入分析表-租金收入-香港本部"/>
      <sheetName val="其它非经营性收入及支出分析表-23"/>
      <sheetName val="财务收支分析表-24"/>
      <sheetName val="土地储备表"/>
      <sheetName val="资产负债表-26"/>
      <sheetName val="资金情怳表-27"/>
      <sheetName val="应收帐款周转天数表-按利润中心-29"/>
      <sheetName val="资本性支出表-35"/>
      <sheetName val="现金流量表-45"/>
      <sheetName val="现金流量表-直接法-汇总"/>
      <sheetName val="现金流量表-直接法-北京公司"/>
      <sheetName val="现金流量表-直接法-上海公司"/>
      <sheetName val="现金流量表-直接法-成都公司"/>
      <sheetName val="现金流量表-直接法-香港本部"/>
      <sheetName val="按揭应收款分析表"/>
      <sheetName val="项目资金占用情况表"/>
      <sheetName val="税项表"/>
      <sheetName val="员工人数"/>
      <sheetName val="三年综述表-115"/>
      <sheetName val="Validation"/>
      <sheetName val="Toolbox"/>
      <sheetName val="99CCTV"/>
      <sheetName val="成本测算"/>
      <sheetName val="经营利润表-明细-5-1-CRɌ"/>
      <sheetName val="经营利润表-明细-5-1-"/>
      <sheetName val="Aging Datasheet"/>
      <sheetName val="ECCS_1 DataSheet"/>
      <sheetName val="KPI Datasheet"/>
      <sheetName val="面积指标"/>
      <sheetName val="写字楼B"/>
      <sheetName val="资产负债表"/>
      <sheetName val="华房01"/>
      <sheetName val="健翔01"/>
      <sheetName val="京通01"/>
      <sheetName val="银行借款询证"/>
      <sheetName val="物业服务收入"/>
      <sheetName val="基础数据2"/>
      <sheetName val="经营利润表-明细-5-1-CRɌ_x005f_x0000_᠀ᕻ"/>
      <sheetName val="经营利润表-明细-5-1-_x005f_x0000__x005"/>
      <sheetName val="POWER ASSUMPTIONS"/>
      <sheetName val="Sheet1"/>
      <sheetName val="CFS"/>
      <sheetName val="付款进度表"/>
      <sheetName val="科目列表"/>
      <sheetName val="   合同台账  "/>
      <sheetName val="无合同工程及销费"/>
      <sheetName val="資料庫"/>
      <sheetName val="经营利润表-明细-5-1-CRɌ_x0"/>
      <sheetName val="经营利润表-明细-5-1-_x005f"/>
      <sheetName val="凤一"/>
      <sheetName val="屋脊线"/>
      <sheetName val="#REF!"/>
      <sheetName val="经营利润表-明细-5-1-CRɌ_x005f_x005f_x0"/>
      <sheetName val="经营利润表-明细-5-1-_x005f_x005f_x005f"/>
      <sheetName val="21"/>
      <sheetName val="门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um(Flooring )"/>
      <sheetName val="骨浆计算式(备)"/>
      <sheetName val="finishing6-34"/>
      <sheetName val="finishing35-36"/>
      <sheetName val="finishing37"/>
      <sheetName val="finishing38"/>
      <sheetName val="finishingR"/>
      <sheetName val="finishingWT_UR"/>
      <sheetName val="classification(Flooring)"/>
      <sheetName val="#REF!"/>
      <sheetName val="汇总表"/>
      <sheetName val="L型单拼36"/>
      <sheetName val="L型单拼33"/>
      <sheetName val="M型双拼40、41"/>
      <sheetName val="M型三拼37、38、39"/>
      <sheetName val="总栋号统计"/>
      <sheetName val="清单名称"/>
      <sheetName val="A计算"/>
      <sheetName val="单位"/>
      <sheetName val="计算稿"/>
      <sheetName val="Sheet3"/>
      <sheetName val="清单汇总"/>
      <sheetName val="材料价格"/>
      <sheetName val="地梁"/>
      <sheetName val="第五标段"/>
      <sheetName val="预算封面一标"/>
      <sheetName val="门窗139"/>
      <sheetName val="副框137"/>
      <sheetName val="门窗137"/>
      <sheetName val="钢板桩"/>
      <sheetName val="其他"/>
      <sheetName val="外墙 (129栋) "/>
      <sheetName val="外墙 (130栋)  "/>
      <sheetName val="屋脊线"/>
      <sheetName val="楼梯钢筋"/>
      <sheetName val="工作台帐"/>
      <sheetName val="门窗表"/>
      <sheetName val="计算式明细"/>
      <sheetName val="零星"/>
      <sheetName val="柱"/>
      <sheetName val="EVALUATE电梯集水井、风井"/>
      <sheetName val="钢架dun"/>
      <sheetName val="单位库"/>
      <sheetName val="工程量计算表"/>
      <sheetName val="1"/>
      <sheetName val="3标(4)月份"/>
      <sheetName val="Repayment Summary"/>
      <sheetName val="希尔顿FCS语音"/>
      <sheetName val="墙面工程"/>
      <sheetName val="厨厕通用"/>
      <sheetName val="地坪"/>
      <sheetName val="清单"/>
      <sheetName val="模板"/>
      <sheetName val="总措施项目"/>
      <sheetName val="综合单价汇总表"/>
      <sheetName val="144"/>
      <sheetName val="7"/>
      <sheetName val="投标材料清单 "/>
      <sheetName val="结算书计价清单 (结算)"/>
      <sheetName val="Sheet1"/>
      <sheetName val="21"/>
      <sheetName val="过渡数据表"/>
      <sheetName val="生人台帳"/>
      <sheetName val="主材表"/>
      <sheetName val="上年末"/>
      <sheetName val="1月"/>
      <sheetName val="10月"/>
      <sheetName val="11月"/>
      <sheetName val="12月"/>
      <sheetName val="2月"/>
      <sheetName val="3月"/>
      <sheetName val="4月"/>
      <sheetName val="5月"/>
      <sheetName val="6月"/>
      <sheetName val="7月"/>
      <sheetName val="8月"/>
      <sheetName val="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(Flooring )"/>
      <sheetName val="骨浆计算式(备)"/>
      <sheetName val="finishing6-34"/>
      <sheetName val="finishing35-36"/>
      <sheetName val="finishing37"/>
      <sheetName val="finishing38"/>
      <sheetName val="finishingR"/>
      <sheetName val="finishingWT_UR"/>
      <sheetName val="classification(Flooring)"/>
      <sheetName val="#REF!"/>
      <sheetName val="第三方负责金额"/>
      <sheetName val="索赔 施工单位之间"/>
      <sheetName val="汇总 "/>
      <sheetName val="缺漏项统计表"/>
      <sheetName val="罚款统计表"/>
      <sheetName val="索赔"/>
      <sheetName val="Sheet1"/>
      <sheetName val="0"/>
      <sheetName val="鋼筋統計表"/>
      <sheetName val="B4F柱筋"/>
      <sheetName val="B3F梁筋"/>
      <sheetName val="B3F板钢筋"/>
      <sheetName val="40M3水箱"/>
      <sheetName val="250M3水箱"/>
      <sheetName val="地库钻孔插铁"/>
      <sheetName val="柱计算"/>
      <sheetName val="楼梯钢筋"/>
      <sheetName val="封面"/>
      <sheetName val="汇总表"/>
      <sheetName val="行高&lt;11号字高&gt;工程量计算表1"/>
      <sheetName val="行高&lt;12号字高&gt;工程量计算表2"/>
      <sheetName val="行高&lt;13号字高&gt;工程量计算表3"/>
      <sheetName val="工程量计算表4"/>
      <sheetName val="工程量计算表5"/>
      <sheetName val="工程量计算表6"/>
      <sheetName val="工程量计算表7"/>
      <sheetName val="单位库"/>
      <sheetName val="门窗表"/>
      <sheetName val="计算式明细"/>
      <sheetName val="基础"/>
      <sheetName val="基础项目"/>
      <sheetName val="过渡数据表"/>
      <sheetName val="01封面"/>
      <sheetName val="02汇总表"/>
      <sheetName val="03工程量清单（门窗）"/>
      <sheetName val="04F栋门窗单价分析表"/>
      <sheetName val="门窗材料分析表"/>
      <sheetName val="05工程量清单（格栅）"/>
      <sheetName val="06钢结构、雨棚、栏杆报价分析"/>
      <sheetName val="07百页单价分析"/>
      <sheetName val="08F栋格栅单价分析表"/>
      <sheetName val="09遮阳板单价分析"/>
      <sheetName val="10主要材料表"/>
      <sheetName val="11"/>
      <sheetName val="价格对比（合价）"/>
      <sheetName val="西区A标(1~3标）"/>
      <sheetName val="西区B标(4~5标）"/>
      <sheetName val="东区C标(6~7标，东区会所）"/>
      <sheetName val="东区D标(8~9标）"/>
      <sheetName val="地梁"/>
      <sheetName val="21"/>
      <sheetName val="面积计算"/>
      <sheetName val="T1~7基础梁 "/>
      <sheetName val="承台及地坪下柱"/>
      <sheetName val="带基"/>
      <sheetName val="圈过梁"/>
      <sheetName val="构造柱"/>
      <sheetName val="柱计算 (通用)"/>
      <sheetName val="脚手架通用"/>
      <sheetName val="砖墙"/>
      <sheetName val="厨厕通用"/>
      <sheetName val="砼墙"/>
      <sheetName val="平板"/>
      <sheetName val="屋面板"/>
      <sheetName val="地坪"/>
      <sheetName val="楼梯栏杆"/>
      <sheetName val="楼梯通用"/>
      <sheetName val="台阶"/>
      <sheetName val="装饰"/>
      <sheetName val="计算表"/>
      <sheetName val="梁"/>
      <sheetName val="工程量汇总"/>
      <sheetName val="甲供料表"/>
      <sheetName val="人工挖孔桩"/>
      <sheetName val="承台(砖模) "/>
      <sheetName val="承台(木模)"/>
      <sheetName val="基础梁"/>
      <sheetName val="柱"/>
      <sheetName val="计算试"/>
      <sheetName val="F8~9承台"/>
      <sheetName val="RecoveredExternalLink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模板"/>
      <sheetName val="总汇表"/>
      <sheetName val="总措施项目"/>
      <sheetName val="单位工程措施项目"/>
      <sheetName val="综合单价汇总表"/>
      <sheetName val="B4G"/>
      <sheetName val="G1G"/>
      <sheetName val="G1G联体"/>
      <sheetName val="G2G "/>
      <sheetName val="G3G"/>
      <sheetName val="H1G"/>
      <sheetName val="H3G"/>
      <sheetName val="J1G"/>
      <sheetName val="J2G"/>
      <sheetName val="J3G"/>
      <sheetName val="K1G"/>
      <sheetName val="C2-1"/>
      <sheetName val="C2-3"/>
      <sheetName val="C5-1"/>
      <sheetName val="C5-3"/>
      <sheetName val="C5-2"/>
      <sheetName val="C5-4"/>
      <sheetName val="D1-2"/>
      <sheetName val="D1-4"/>
      <sheetName val="清单"/>
      <sheetName val="至10月末全成本汇总表（动态）"/>
      <sheetName val="封面"/>
      <sheetName val="加压泵房"/>
      <sheetName val="   合同台账  "/>
      <sheetName val="无合同工程及销费"/>
      <sheetName val="科目列表"/>
      <sheetName val="汇总表"/>
      <sheetName val="#REF!"/>
      <sheetName val="主楼垫层"/>
      <sheetName val="地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(Flooring )"/>
      <sheetName val="骨浆计算式(备)"/>
      <sheetName val="finishing6-34"/>
      <sheetName val="finishing35-36"/>
      <sheetName val="finishing37"/>
      <sheetName val="finishing38"/>
      <sheetName val="finishingR"/>
      <sheetName val="finishingWT_UR"/>
      <sheetName val="classification(Flooring)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费用汇总表"/>
      <sheetName val="费用汇总表（安装）"/>
      <sheetName val="一号清单费用"/>
      <sheetName val="三号清单汇总"/>
      <sheetName val="二号清单汇总表"/>
      <sheetName val="地下室 "/>
      <sheetName val="商业"/>
      <sheetName val="1~15#高层"/>
      <sheetName val="幼儿园"/>
      <sheetName val="垃圾房、公厕"/>
      <sheetName val="三号清单汇总 "/>
      <sheetName val="防震工程"/>
      <sheetName val="费用及指标表 （打印)"/>
      <sheetName val="费用及指标表"/>
      <sheetName val="造价指标"/>
      <sheetName val="安装清单"/>
      <sheetName val="一号清单 待修改"/>
      <sheetName val="1号清单待修改"/>
      <sheetName val="三号清单待修改"/>
      <sheetName val="超高降效费"/>
      <sheetName val="编制说明"/>
      <sheetName val="汇总表"/>
      <sheetName val="对比分析表"/>
      <sheetName val="含量指标表"/>
      <sheetName val="地下室给排水"/>
      <sheetName val="地下室给排水工程量"/>
      <sheetName val="1#~7#商住房给排水"/>
      <sheetName val="1#~7#商住房给排水工程量 "/>
      <sheetName val="商业、配套给排水"/>
      <sheetName val="商业给排水工程量"/>
      <sheetName val="综合单价分析--给排水"/>
      <sheetName val="给排水定额人工"/>
      <sheetName val="主材--阀门"/>
      <sheetName val="主材--钢管"/>
      <sheetName val="主材--塑料管"/>
      <sheetName val="主材--给排水零星项"/>
      <sheetName val="地下室电气"/>
      <sheetName val="地下室电气 工程量"/>
      <sheetName val="1#~7#楼商住房电气"/>
      <sheetName val="1#~7#楼商住房电气工程量"/>
      <sheetName val="商业、配套电气"/>
      <sheetName val="商业电气工程量"/>
      <sheetName val="电气综合单价分析(除线缆外）"/>
      <sheetName val="综合单价分析一电线电缆"/>
      <sheetName val="电气定额人工"/>
      <sheetName val="主材--桥架、线槽"/>
      <sheetName val="主材--PC管"/>
      <sheetName val="主材--镀锌电线管"/>
      <sheetName val="主材--灯具"/>
      <sheetName val="主材--其它"/>
      <sheetName val="主材--电缆"/>
      <sheetName val="主材--电线"/>
      <sheetName val="主材--套管"/>
      <sheetName val="地梁"/>
      <sheetName val="骨浆计算式(备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汇总表B1型"/>
      <sheetName val="汇总表"/>
      <sheetName val="甲供材"/>
      <sheetName val="铝合金门窗"/>
      <sheetName val="建筑面积B1,B2"/>
      <sheetName val="挖土方"/>
      <sheetName val="室外土方"/>
      <sheetName val="B1-5~9桩承台"/>
      <sheetName val="独立基础"/>
      <sheetName val="B1-2独立基础"/>
      <sheetName val="B2-1独立基础"/>
      <sheetName val="三.基础梁"/>
      <sheetName val="四.柱计算"/>
      <sheetName val="八.单梁连续梁通用"/>
      <sheetName val="板"/>
      <sheetName val="楼梯"/>
      <sheetName val="地坪"/>
      <sheetName val="天沟,线条,节点"/>
      <sheetName val="十.脚手架"/>
      <sheetName val="墙"/>
      <sheetName val="屋面"/>
      <sheetName val="厨卫"/>
      <sheetName val="楼地面"/>
      <sheetName val="内墙抹灰"/>
      <sheetName val="天棚"/>
      <sheetName val="外墙抹灰"/>
      <sheetName val="签证单"/>
      <sheetName val="装饰工程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柱"/>
      <sheetName val="钢架dun"/>
      <sheetName val="分类"/>
      <sheetName val="2001取费"/>
      <sheetName val="单位库"/>
      <sheetName val="基础项目"/>
      <sheetName val="墙面工程"/>
      <sheetName val="sum(Flooring )"/>
      <sheetName val="#REF!"/>
      <sheetName val="3.基础梁"/>
      <sheetName val="内围地梁钢筋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8~9承台"/>
      <sheetName val="厨厕通用"/>
      <sheetName val="地坪"/>
      <sheetName val="装饰"/>
      <sheetName val="1#配电房"/>
      <sheetName val="F10~22圆形柱及零星非通用"/>
      <sheetName val="3"/>
      <sheetName val="#REF!"/>
      <sheetName val="骨浆计算式(备)"/>
      <sheetName val="2001取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版本控制页"/>
      <sheetName val="汇总表"/>
      <sheetName val="清单"/>
      <sheetName val="图片"/>
      <sheetName val="模板"/>
      <sheetName val="Sheet2"/>
      <sheetName val="地梁"/>
      <sheetName val="墙面工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封面"/>
      <sheetName val="编制说明"/>
      <sheetName val="结算汇总"/>
      <sheetName val="签证汇总"/>
      <sheetName val="签证清单"/>
      <sheetName val="造价汇总"/>
      <sheetName val="B1-3复式"/>
      <sheetName val="H1-201小高"/>
      <sheetName val="00000000"/>
      <sheetName val="#REF"/>
      <sheetName val="F8~9承台"/>
      <sheetName val="墙面工程"/>
      <sheetName val="汇总表"/>
      <sheetName val="消防水"/>
      <sheetName val="消防弱电"/>
      <sheetName val="单位"/>
      <sheetName val="移交表"/>
      <sheetName val="质感计算式"/>
      <sheetName val="骨浆计算式"/>
      <sheetName val="骨浆计算式 (2)"/>
      <sheetName val="签证"/>
      <sheetName val="第三方"/>
      <sheetName val="施工单位之间"/>
      <sheetName val="罚款统计表"/>
      <sheetName val="3标(4)月份"/>
      <sheetName val="骨浆计算式(备)"/>
      <sheetName val="计算稿"/>
      <sheetName val="sum(Flooring )"/>
      <sheetName val="厨厕通用"/>
      <sheetName val="地坪"/>
      <sheetName val="装饰"/>
      <sheetName val="144门窗清洁"/>
      <sheetName val="145门窗清洁"/>
      <sheetName val="G,H户型涂料"/>
      <sheetName val="汇总"/>
      <sheetName val="清单汇总"/>
      <sheetName val="结构签证"/>
      <sheetName val="施工单位索赔"/>
      <sheetName val="索赔汇总表"/>
      <sheetName val="其他施工单位索赔表"/>
      <sheetName val="五楼"/>
      <sheetName val="备注"/>
      <sheetName val="主楼垫层"/>
      <sheetName val="壁墙"/>
      <sheetName val="地梁"/>
      <sheetName val="桩承台"/>
      <sheetName val="集水井"/>
      <sheetName val="底板"/>
      <sheetName val="外壁墙 "/>
      <sheetName val="人防墙"/>
      <sheetName val="水池墙"/>
      <sheetName val="核心筒墙"/>
      <sheetName val="柱"/>
      <sheetName val="直梁"/>
      <sheetName val="楼板、后浇带、柱帽"/>
      <sheetName val="飘板"/>
      <sheetName val="栏板"/>
      <sheetName val="车道板"/>
      <sheetName val="楼梯 "/>
      <sheetName val="梯柱"/>
      <sheetName val="构造柱"/>
      <sheetName val="防爆波井及排水沟"/>
      <sheetName val="地下室批挡"/>
      <sheetName val="正负0.00以上批挡"/>
      <sheetName val="屋面、机房外墙及脚手架及零星"/>
      <sheetName val="正负0.00以上内砖墙"/>
      <sheetName val="正负0.00以上外砖墙"/>
      <sheetName val="地下室内砖墙"/>
      <sheetName val="门窗"/>
      <sheetName val="RecoveredExternalLink11"/>
      <sheetName val="编制说明1-工程量清单 "/>
      <sheetName val="编制说明2-报价须知 (2)"/>
      <sheetName val="编制说明3-清单说明 (2)"/>
      <sheetName val="基坑支护"/>
      <sheetName val="桩基础"/>
      <sheetName val="地下室土建"/>
      <sheetName val="1~6#商品房"/>
      <sheetName val="7~8#商业"/>
      <sheetName val="主要材料询价表"/>
      <sheetName val="市场人工"/>
      <sheetName val="桩基zj"/>
      <sheetName val="基坑zj"/>
      <sheetName val="土方zj"/>
      <sheetName val="砌体zj "/>
      <sheetName val="混凝土zj"/>
      <sheetName val="防水zj "/>
      <sheetName val="钢材zj"/>
      <sheetName val="屋面zj"/>
      <sheetName val="地面 zj"/>
      <sheetName val="墙面抹灰 zj"/>
      <sheetName val="模板组价"/>
      <sheetName val="常用零星工程综合单价表  (2)"/>
      <sheetName val="其他zj"/>
      <sheetName val="大型机械进出场费、租赁费、基础 "/>
      <sheetName val="人货梯基础"/>
      <sheetName val="塔吊基础（底板范围内）"/>
      <sheetName val="金属结构工程"/>
      <sheetName val="集水井成品zj"/>
      <sheetName val="天棚zj "/>
      <sheetName val="十八.门窗表,门框塞缝"/>
      <sheetName val="3"/>
      <sheetName val="2001取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报告"/>
      <sheetName val="汇总表A "/>
      <sheetName val="附件A"/>
      <sheetName val="变更"/>
      <sheetName val="签证B"/>
      <sheetName val="清单"/>
      <sheetName val="目录 (2)"/>
      <sheetName val="门窗表"/>
      <sheetName val="下拉菜单"/>
      <sheetName val="Macro1"/>
      <sheetName val="汇总表"/>
      <sheetName val="结构"/>
      <sheetName val="饰面"/>
      <sheetName val="廊架钢木汇总"/>
      <sheetName val="涂料饰面"/>
      <sheetName val="1"/>
      <sheetName val="A计算"/>
      <sheetName val="#REF!"/>
      <sheetName val="B1-03"/>
      <sheetName val="总栋号统计"/>
      <sheetName val="清单名称"/>
      <sheetName val="五楼"/>
      <sheetName val="钢板桩"/>
      <sheetName val="其他"/>
      <sheetName val="预算封面一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m(Flooring )"/>
      <sheetName val="汇总表"/>
      <sheetName val="finishing6-34"/>
      <sheetName val="finishing35-36"/>
      <sheetName val="finishing37"/>
      <sheetName val="finishing38"/>
      <sheetName val="finishingR"/>
      <sheetName val="finishingWT_UR"/>
      <sheetName val="classification(Flooring)"/>
      <sheetName val="#REF!"/>
      <sheetName val="Sheet1"/>
      <sheetName val="屋项铝单板"/>
      <sheetName val="钢材单重"/>
      <sheetName val="分类"/>
      <sheetName val="门窗表"/>
      <sheetName val="计算式明细"/>
      <sheetName val="过渡数据表"/>
      <sheetName val="总栋号统计"/>
      <sheetName val="清单名称"/>
      <sheetName val="骨浆计算式(备)"/>
      <sheetName val="单位"/>
      <sheetName val="计算稿"/>
      <sheetName val="3标(4)月份"/>
      <sheetName val="使用说明"/>
      <sheetName val="清单汇总"/>
      <sheetName val="地梁"/>
      <sheetName val="钢架dun"/>
      <sheetName val="KL(二)&lt;12&gt;"/>
      <sheetName val="主楼垫层"/>
      <sheetName val="EVALUATE电梯集水井、风井"/>
      <sheetName val="厨厕通用"/>
      <sheetName val="J4型"/>
      <sheetName val="副框137"/>
      <sheetName val="其他"/>
      <sheetName val="工程量表"/>
      <sheetName val="单位库"/>
      <sheetName val="移交表"/>
      <sheetName val="零星(配电室)"/>
      <sheetName val="基础"/>
      <sheetName val="设置"/>
      <sheetName val="屋脊线"/>
      <sheetName val="材料单价"/>
      <sheetName val="一号清单（主体）"/>
      <sheetName val="零星"/>
      <sheetName val="钢筋工程量分析表(26#)"/>
      <sheetName val="经济指标分析表（26#）"/>
      <sheetName val="钢筋工程量分析表(28#)"/>
      <sheetName val="经济指标分析表（28#）"/>
      <sheetName val="钢筋工程量分析表(30#)"/>
      <sheetName val="经济指标分析表（30#）"/>
      <sheetName val="钢筋工程量分析表(32#)"/>
      <sheetName val="经济指标分析表（32#）"/>
      <sheetName val="钢筋工程量分析表(34#)"/>
      <sheetName val="经济指标分析表（34#）"/>
      <sheetName val="钢筋工程量分析表(36#)"/>
      <sheetName val="经济指标分析表（36#）"/>
      <sheetName val="钢筋工程量分析表(37#)"/>
      <sheetName val="经济指标分析表（37#）"/>
      <sheetName val="钢筋工程量分析表(40#)"/>
      <sheetName val="经济指标分析表（40#）"/>
      <sheetName val="钢筋工程量分析表(41#)"/>
      <sheetName val="经济指标分析表（41#）"/>
      <sheetName val="经济指标分析表（44#）"/>
      <sheetName val="钢筋工程量分析表(44#)"/>
      <sheetName val="经济指标分析表（二标地下室）"/>
      <sheetName val="钢筋工程量分析表(17#)"/>
      <sheetName val="经济指标分析表（17#）"/>
      <sheetName val="钢筋工程量分析表(20#)"/>
      <sheetName val="经济指标分析表（20#）"/>
      <sheetName val="钢筋工程量分析表(22#)"/>
      <sheetName val="经济指标分析表（22#）"/>
      <sheetName val="钢筋工程量分析表(24#)"/>
      <sheetName val="经济指标分析表（24#）"/>
      <sheetName val="L型单拼36"/>
      <sheetName val="L型单拼33"/>
      <sheetName val="M型双拼40、41"/>
      <sheetName val="M型三拼37、38、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sum(Flooring )"/>
      <sheetName val="NS-wall"/>
      <sheetName val="Sheet1"/>
      <sheetName val="Sheet2"/>
      <sheetName val="Sheet3"/>
      <sheetName val="钢架dun"/>
      <sheetName val="过渡数据表"/>
      <sheetName val="材料价格"/>
      <sheetName val="骨浆计算式(备)"/>
      <sheetName val="184栋外墙涂料"/>
      <sheetName val="钢材单重"/>
      <sheetName val="分类"/>
      <sheetName val="资料"/>
      <sheetName val="柱计算"/>
      <sheetName val="1#配电房"/>
      <sheetName val="价格表 "/>
      <sheetName val="Sheetl"/>
      <sheetName val="门窗表"/>
      <sheetName val="总栋号统计"/>
      <sheetName val="工程量表"/>
      <sheetName val="汇总表"/>
      <sheetName val="钢木分析表"/>
      <sheetName val="结构"/>
      <sheetName val="饰面"/>
      <sheetName val="1"/>
      <sheetName val="工程量计算"/>
      <sheetName val="二标采购"/>
      <sheetName val="其他"/>
      <sheetName val="屋脊线"/>
      <sheetName val="计算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s"/>
      <sheetName val="目录"/>
      <sheetName val="损益表(一般)-1"/>
      <sheetName val="营业额分析表-2"/>
      <sheetName val="毛利率分析表-4"/>
      <sheetName val="经营利润分析表-5"/>
      <sheetName val="经营利润表-明细-5-1-CRLD610000"/>
      <sheetName val="经营利润表-明细-5-1-CRLD210000"/>
      <sheetName val="经营利润表-明细-5-1-CRLD220000"/>
      <sheetName val="经营利润表-明细-5-1-CRLD230000"/>
      <sheetName val="经营利润表-明细-5-1-CRLD240000"/>
      <sheetName val="经营利润表-明细-5-1-CRLD260000"/>
      <sheetName val="经营利润表-明细-5-1-CRLD250000"/>
      <sheetName val="经营利润表-明细-5-1-CRLD270000"/>
      <sheetName val="经营利润表-明细-5-1-CRLD620000"/>
      <sheetName val="经营利润表-明细-5-1-CRLD630000"/>
      <sheetName val="经营利润表-明细-5-1-CRLD640000"/>
      <sheetName val="一般及行政费用分析表-11"/>
      <sheetName val="一般及行政费用-明细-11-1"/>
      <sheetName val="销售及分销费用分析表-14"/>
      <sheetName val="销售及分销费用-明细-14-1"/>
      <sheetName val="其它经营费用分析表-15"/>
      <sheetName val="其它经营收入分析表-20"/>
      <sheetName val="其它非经营性收入及支出分析表-23"/>
      <sheetName val="财务收支分析表-24"/>
      <sheetName val="资产负债表-26"/>
      <sheetName val="资金情怳表-27"/>
      <sheetName val="应收帐款周转天数表-按利润中心-29"/>
      <sheetName val="应收帐款表-按利润中心-30"/>
      <sheetName val="资本性支出表-35"/>
      <sheetName val="资本承担及或有负债-43"/>
      <sheetName val="财务比率分析表-63"/>
      <sheetName val="财务比率分析表-63-1"/>
      <sheetName val="现金流量表-45"/>
      <sheetName val="P2"/>
      <sheetName val="Validation"/>
      <sheetName val="T2损益表(北京)-1-1"/>
      <sheetName val="T2损益表(上诲)-1-2"/>
      <sheetName val="T2损益表(成都)-1-3"/>
      <sheetName val="T2损益表(香港)-1-4"/>
      <sheetName val="T2本月物业销售分析表"/>
      <sheetName val="T2本年累计物业销售分析表"/>
      <sheetName val="T2出租物业分析表"/>
      <sheetName val="T2会所收入分析表"/>
      <sheetName val="T2物业管理分析表"/>
      <sheetName val="T2销售公司收入分析表"/>
      <sheetName val="T2总成本分析表"/>
      <sheetName val="T2成本分析-香港公司"/>
      <sheetName val="T2成本分析-北京物业销售汇总"/>
      <sheetName val="T2成本分析-北京总部"/>
      <sheetName val="T2成本分析-北京项目"/>
      <sheetName val="T2成本分析-上诲项目"/>
      <sheetName val="T2成本分析-成都项目"/>
      <sheetName val="T2成本分析-出租物业"/>
      <sheetName val="T2成本分析-物业管理"/>
      <sheetName val="T2成本分析-会所"/>
      <sheetName val="T2成本分析-其他收入"/>
      <sheetName val="T2项目成本分析表"/>
      <sheetName val="T2项目资金占庄分析表"/>
      <sheetName val="T2按揭应收帐分析表"/>
      <sheetName val="T2银行贷款分析表"/>
      <sheetName val="T2房屋明细及土地储备表"/>
      <sheetName val="T2库存表"/>
      <sheetName val="T2现金流量表-直接法-汇总"/>
      <sheetName val="T2现金流量表-直接法-北京公司"/>
      <sheetName val="T2现金流量表-直接法-上诲公司"/>
      <sheetName val="T2现金流量表-直接法-成都公司"/>
      <sheetName val="T2现金流量表-直接法-香港本部"/>
      <sheetName val="G.1R-Shou COP Gf"/>
      <sheetName val="Aging Datasheet"/>
      <sheetName val="ECCS_1 DataSheet"/>
      <sheetName val="KPI Datasheet"/>
      <sheetName val="   合同台账  "/>
      <sheetName val="门窗表"/>
      <sheetName val="屋脊线"/>
      <sheetName val="#REF!"/>
      <sheetName val="加压泵房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版本控制页"/>
      <sheetName val="汇总表"/>
      <sheetName val="清单"/>
      <sheetName val="图片"/>
      <sheetName val="模板"/>
      <sheetName val="Sheet2"/>
      <sheetName val="地梁"/>
      <sheetName val="计算式明细"/>
      <sheetName val="工程量汇总表"/>
      <sheetName val="门窗表"/>
      <sheetName val="门窗汇总表"/>
      <sheetName val="工程指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封面A"/>
      <sheetName val="封面B"/>
      <sheetName val="报告A"/>
      <sheetName val="报告B"/>
      <sheetName val="汇总表A "/>
      <sheetName val="汇总表B"/>
      <sheetName val="按竣工图计算A"/>
      <sheetName val="按竣工图计算B"/>
      <sheetName val="附件A"/>
      <sheetName val="附件B"/>
      <sheetName val="签证A"/>
      <sheetName val="签证B"/>
      <sheetName val="联系单A"/>
      <sheetName val="联系单Ｂ"/>
      <sheetName val="A计算"/>
      <sheetName val="B1计算"/>
      <sheetName val="B2计算"/>
      <sheetName val="A区北向雨篷计算"/>
      <sheetName val="B1区北向雨篷计算"/>
      <sheetName val="B2区北向雨篷计算"/>
      <sheetName val="保安亭计算"/>
      <sheetName val="A区南向雨篷"/>
      <sheetName val="B区南向雨篷"/>
      <sheetName val="门窗表"/>
      <sheetName val="下拉菜单"/>
      <sheetName val="清单"/>
      <sheetName val="Macro1"/>
      <sheetName val="结构"/>
      <sheetName val="饰面"/>
      <sheetName val="廊架钢木汇总"/>
      <sheetName val="涂料饰面"/>
      <sheetName val="1#配电房"/>
      <sheetName val="钢架dun"/>
      <sheetName val="六标洋房"/>
      <sheetName val="二标采购"/>
      <sheetName val="#REF!"/>
      <sheetName val="钢板桩"/>
      <sheetName val="其他"/>
      <sheetName val="屋项铝单板"/>
      <sheetName val="Z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常用项目"/>
      <sheetName val="1#非桩基础 "/>
      <sheetName val="投标总结"/>
      <sheetName val="塔楼给排水清单 "/>
      <sheetName val="15#裙楼土建"/>
      <sheetName val="16#裙楼土建"/>
      <sheetName val="一号清单开办费"/>
      <sheetName val="15#塔楼土建"/>
      <sheetName val="裙楼土建成本分析"/>
      <sheetName val="17#非桩基础"/>
      <sheetName val="高层塔楼土建成本分析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Sheet1"/>
      <sheetName val="暗渠以西人防地库（暂定）"/>
      <sheetName val="1 开办费汇总"/>
      <sheetName val="D1#地库汇总BQ3.1-SUM"/>
      <sheetName val="A6#小高层地上汇总BQ5.1-SUM"/>
      <sheetName val="A7#小高层地上汇总BQ6.1-SUM"/>
      <sheetName val="A11#高层地上汇总BQ7.1-SUM"/>
      <sheetName val="A12#小高层地上汇总BQ8.1-SUM"/>
      <sheetName val="A15#高层汇总BQ9.1-SUM"/>
      <sheetName val="A16#高层汇总BQ10.1-SUM "/>
      <sheetName val="S1#裙楼地上汇总BQ4.1-SUM"/>
      <sheetName val="预算200326"/>
      <sheetName val="#REF!"/>
      <sheetName val="資料庫"/>
      <sheetName val="BQ2.10"/>
      <sheetName val="Sheet4"/>
      <sheetName val="Open"/>
      <sheetName val="eqpmad2"/>
      <sheetName val="合格证 (2)"/>
      <sheetName val="明細表"/>
      <sheetName val="应供量清单"/>
      <sheetName val="编制说明"/>
      <sheetName val="GS"/>
      <sheetName val="Main"/>
      <sheetName val="21"/>
      <sheetName val="BQ2-住宅部分"/>
      <sheetName val="BQ2-商业街部分"/>
      <sheetName val="POWER ASSUMPTIONS"/>
      <sheetName val="3"/>
      <sheetName val="8"/>
      <sheetName val="主要项目单价分析表 "/>
      <sheetName val="电线"/>
      <sheetName val="电缆"/>
      <sheetName val="Financ. Overview"/>
      <sheetName val="Toolbox"/>
      <sheetName val="Wl. Fin."/>
      <sheetName val="中海城三期（01A及01E小学）"/>
      <sheetName val="中海城四期（02C）"/>
      <sheetName val="型材表"/>
      <sheetName val="材料单价表"/>
      <sheetName val="汇总表"/>
      <sheetName val="配置表"/>
      <sheetName val="XLR_NoRangeSheet"/>
      <sheetName val="地连墙"/>
      <sheetName val="磨具余料庫"/>
      <sheetName val="7"/>
      <sheetName val="投标材料清单 "/>
      <sheetName val="面积表"/>
      <sheetName val="二号清单"/>
      <sheetName val="S1单价表"/>
      <sheetName val="일반공사"/>
      <sheetName val="2012-9科目余额表 (6)"/>
      <sheetName val="科目余额表 (5)"/>
      <sheetName val="工料测量师报告"/>
      <sheetName val="7.1APP3"/>
      <sheetName val="1"/>
      <sheetName val="G2TempSheet"/>
      <sheetName val="2.1设计部"/>
      <sheetName val="银行账户"/>
      <sheetName val="单位"/>
      <sheetName val="SW-TEO"/>
      <sheetName val="G1102地块一区（省一建） "/>
      <sheetName val="Mp-team 1"/>
      <sheetName val="A"/>
      <sheetName val="设计部"/>
      <sheetName val="XL4Poppy"/>
      <sheetName val="   合同台账  "/>
      <sheetName val="清单"/>
      <sheetName val="地梁"/>
      <sheetName val="内围地梁钢筋说明"/>
      <sheetName val="4、综合单价分析表"/>
      <sheetName val="材料价格"/>
      <sheetName val="工程量A"/>
      <sheetName val="单价报价明细表"/>
      <sheetName val="报价明细表"/>
      <sheetName val="2"/>
      <sheetName val="6"/>
      <sheetName val="面积合计（藏）"/>
      <sheetName val="4"/>
      <sheetName val="5"/>
      <sheetName val="计算表"/>
      <sheetName val="03定额库"/>
      <sheetName val="94定额库"/>
      <sheetName val="封面"/>
      <sheetName val="清单库"/>
      <sheetName val="单价分析表格式"/>
      <sheetName val="1#"/>
      <sheetName val="工程量"/>
      <sheetName val="1."/>
      <sheetName val="BQ4.1.1至4.1.4"/>
      <sheetName val="材料"/>
      <sheetName val="雨棚"/>
      <sheetName val="BQ3-1"/>
      <sheetName val="BQ5.3-1"/>
      <sheetName val="电视监控"/>
      <sheetName val="月报表"/>
      <sheetName val="Hic_150EOffice"/>
      <sheetName val="一层·C区"/>
      <sheetName val="单位库"/>
      <sheetName val="CD"/>
      <sheetName val="改加胶玻璃、室外栏杆"/>
      <sheetName val="点表"/>
      <sheetName val="Data"/>
      <sheetName val="00000ppy"/>
      <sheetName val="投标价目总计"/>
      <sheetName val="开办费"/>
      <sheetName val="BQ2.1~基础工程及土方工程清单"/>
      <sheetName val="BQ2.2~GDG9#网点土方清单"/>
      <sheetName val="BQ3.1.1~地下室1土建清单"/>
      <sheetName val="BQ3.1.2~地下室1机电清单"/>
      <sheetName val="BQ4.1.1~GDG9#土建清单"/>
      <sheetName val="BQ4.1.2~GDG9#机电清单"/>
      <sheetName val="BQ5.1.1~GD6#土建清单"/>
      <sheetName val="BQ5.1.2~GD6#机电清单"/>
      <sheetName val="BQ5.2.1~GD7+GDG8#土建清单"/>
      <sheetName val="BQ5.2.2~GD7+GDG8#机电清单"/>
      <sheetName val="BQ5.3.1~GD8+GDG10#土建清单"/>
      <sheetName val="BQ5.3.2~GD8+GDG10#机电清单"/>
      <sheetName val="BQ5.4.1~GD9#土建清单 "/>
      <sheetName val="BQ5.4.2~GD9#机电清单"/>
      <sheetName val="三号清单之电气工程综合单价分析"/>
      <sheetName val="三号清单之给排水工程综合单价分析"/>
      <sheetName val="貨品科目"/>
      <sheetName val="14.桥架"/>
      <sheetName val="柱"/>
      <sheetName val="费率表"/>
      <sheetName val="单价表"/>
      <sheetName val="建筑面积 "/>
      <sheetName val="土建地上商业部分"/>
      <sheetName val="T(B)Summary"/>
      <sheetName val="EXRATE"/>
      <sheetName val="BQ"/>
      <sheetName val="Estimate Details"/>
      <sheetName val="before"/>
      <sheetName val="计算稿-3#楼"/>
      <sheetName val="Bill-2.1（1）"/>
      <sheetName val="sn"/>
      <sheetName val="RA-markate"/>
      <sheetName val="Setting"/>
      <sheetName val="总量统计"/>
      <sheetName val="10"/>
      <sheetName val="节点（12-2立面）"/>
      <sheetName val="附件二"/>
      <sheetName val="rebrand"/>
      <sheetName val="下拉菜单"/>
      <sheetName val="dw list"/>
      <sheetName val="KDB"/>
      <sheetName val="A翼写字楼"/>
      <sheetName val="S-Hotel"/>
      <sheetName val="SR6SUM"/>
      <sheetName val="基本资料"/>
      <sheetName val="清单汇总"/>
      <sheetName val="基 础"/>
      <sheetName val="B1-1清单外装修"/>
      <sheetName val="MOTOR"/>
      <sheetName val="S"/>
      <sheetName val="ID"/>
      <sheetName val="M&amp;E"/>
      <sheetName val="FS"/>
      <sheetName val="M-Par"/>
      <sheetName val="Col"/>
      <sheetName val="Wall(int)"/>
      <sheetName val="Wall(ext) "/>
      <sheetName val="Reinf"/>
      <sheetName val="Summary of Cost"/>
      <sheetName val="材料表"/>
      <sheetName val="G单价分析"/>
      <sheetName val="H单价分析"/>
      <sheetName val="N单价分析 "/>
      <sheetName val="C单价分析 "/>
      <sheetName val="一层电梯厅单价分析"/>
      <sheetName val="二层电梯厅单价分析"/>
      <sheetName val="参数"/>
      <sheetName val="Data Sheet"/>
      <sheetName val="A3地块围护结构"/>
      <sheetName val="第一部分定价"/>
      <sheetName val="Combo"/>
      <sheetName val="取费系数"/>
      <sheetName val="92#"/>
      <sheetName val="总价"/>
      <sheetName val="企业格式单价分析表"/>
      <sheetName val="JOA首頁"/>
      <sheetName val="机房工程B"/>
      <sheetName val="第二章 - 可视对讲系统"/>
      <sheetName val="数据"/>
      <sheetName val="G.1R-Shou COP Gf"/>
      <sheetName val="目录"/>
      <sheetName val="Sheet1 (1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基础项目"/>
      <sheetName val="#REF!"/>
      <sheetName val="清单汇总"/>
      <sheetName val="F8~9承台"/>
      <sheetName val="2001取费"/>
      <sheetName val="墙面工程"/>
      <sheetName val="楼梯钢筋"/>
      <sheetName val="sum(Flooring )"/>
      <sheetName val="杂项钢筋"/>
      <sheetName val="第5園成本核算表2007-12-25"/>
    </sheetNames>
    <definedNames>
      <definedName name="Mai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备注"/>
      <sheetName val="管桩"/>
      <sheetName val="承台基础"/>
      <sheetName val="地梁"/>
      <sheetName val="异柱"/>
      <sheetName val="矩柱"/>
      <sheetName val="构造柱"/>
      <sheetName val="电梯井壁"/>
      <sheetName val="直梁"/>
      <sheetName val="圈梁"/>
      <sheetName val="楼板"/>
      <sheetName val="挑檐"/>
      <sheetName val="栏板"/>
      <sheetName val="空调板"/>
      <sheetName val="雨篷"/>
      <sheetName val="梯板"/>
      <sheetName val="#REF!"/>
      <sheetName val="清单汇总"/>
      <sheetName val="工程量计算表"/>
      <sheetName val="总栋号统计"/>
      <sheetName val="sum(Flooring )"/>
      <sheetName val="零星"/>
      <sheetName val="过渡数据表"/>
      <sheetName val="汇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预算封面一标"/>
      <sheetName val="汇总表预算用一标"/>
      <sheetName val="编制说明1"/>
      <sheetName val="汇总表1"/>
      <sheetName val="非甲供1"/>
      <sheetName val="甲供1"/>
      <sheetName val="甲供2"/>
      <sheetName val="甲供3"/>
      <sheetName val="编制说明2标"/>
      <sheetName val="汇总表预算用二标"/>
      <sheetName val="预算封面二标"/>
      <sheetName val="编制说明3标 "/>
      <sheetName val="预算封面3标 "/>
      <sheetName val="汇总表预算用3标 "/>
      <sheetName val="#REF!"/>
      <sheetName val="单位"/>
      <sheetName val="骨浆计算式(备)"/>
      <sheetName val="资料"/>
      <sheetName val="ZB"/>
      <sheetName val="零星"/>
      <sheetName val="3标(4)月份"/>
      <sheetName val="人工费询价汇总表"/>
      <sheetName val="钢架dun"/>
      <sheetName val="下拉菜单"/>
      <sheetName val="门窗表"/>
      <sheetName val="Sheet1"/>
      <sheetName val="sum(Flooring )"/>
      <sheetName val="1"/>
      <sheetName val="第三方负责金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面积计算"/>
      <sheetName val="门窗表"/>
      <sheetName val="脚手架通用"/>
      <sheetName val="楼梯通用"/>
      <sheetName val="楼梯栏杆"/>
      <sheetName val="砼墙"/>
      <sheetName val="平板"/>
      <sheetName val="屋面板"/>
      <sheetName val="砖墙"/>
      <sheetName val="梁"/>
      <sheetName val="圈过梁"/>
      <sheetName val="厨厕通用"/>
      <sheetName val="地坪"/>
      <sheetName val="计算表"/>
      <sheetName val="柱计算 (通用)"/>
      <sheetName val="构造柱"/>
      <sheetName val="装饰"/>
      <sheetName val="承台及地坪下柱"/>
      <sheetName val="工程量汇总"/>
      <sheetName val="带基"/>
      <sheetName val="台阶"/>
      <sheetName val="T1~7基础梁 "/>
      <sheetName val="杂项钢筋"/>
      <sheetName val="184栋外墙涂料"/>
      <sheetName val="基础项目"/>
      <sheetName val="单位库"/>
      <sheetName val="Parameters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B1-03"/>
      <sheetName val="B1-10"/>
      <sheetName val="B1-11"/>
      <sheetName val="B2-10"/>
      <sheetName val="B2-13"/>
      <sheetName val="B2-14"/>
      <sheetName val="B1-15图有问题"/>
      <sheetName val="B2-17"/>
      <sheetName val="B2-18"/>
      <sheetName val="B2-23"/>
      <sheetName val="B2-16"/>
      <sheetName val="B2-20"/>
      <sheetName val="B2-27"/>
      <sheetName val="B2-26"/>
      <sheetName val="B2-19"/>
      <sheetName val="B2-22"/>
      <sheetName val="A2-04"/>
      <sheetName val="单位库"/>
      <sheetName val="#REF!"/>
      <sheetName val="六标洋房"/>
      <sheetName val="A计算"/>
      <sheetName val="144"/>
      <sheetName val="二标采购"/>
      <sheetName val="1#配电房"/>
      <sheetName val="3标(4)月份"/>
      <sheetName val="门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1.建筑面积"/>
      <sheetName val="2.条形基础"/>
      <sheetName val="3.基础梁"/>
      <sheetName val="5.梁"/>
      <sheetName val="6.板"/>
      <sheetName val="7.柱"/>
      <sheetName val="4.砖基础"/>
      <sheetName val="8.砖砌体"/>
      <sheetName val="9.门窗表"/>
      <sheetName val="10.梯斜板"/>
      <sheetName val="11.梯含量"/>
      <sheetName val="12.屋面"/>
      <sheetName val="13.大样"/>
      <sheetName val="14.零星部位"/>
      <sheetName val="15.内墙抹灰"/>
      <sheetName val="16.内装饰"/>
      <sheetName val="17.楼地面及天棚"/>
      <sheetName val="18.室内装饰汇总"/>
      <sheetName val="19.外装饰"/>
      <sheetName val="汇总"/>
      <sheetName val="工程量汇总"/>
      <sheetName val="21.基础钢筋"/>
      <sheetName val="22.梁钢筋"/>
      <sheetName val="23.柱钢筋"/>
      <sheetName val="24.板钢筋"/>
      <sheetName val="25.梯筋"/>
      <sheetName val="26.零星筋"/>
      <sheetName val="外环境"/>
      <sheetName val="细部结构"/>
      <sheetName val="条型基础"/>
      <sheetName val="基础"/>
      <sheetName val="柱"/>
      <sheetName val="梁"/>
      <sheetName val="平楼板表(进度)"/>
      <sheetName val="钢筋"/>
      <sheetName val="建筑面积 "/>
      <sheetName val="Sheet3"/>
      <sheetName val="分类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单位库"/>
      <sheetName val="基础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F8~9承台"/>
      <sheetName val="F8-9带基"/>
      <sheetName val="非通用工程量汇总表 (3-18) "/>
      <sheetName val="挡土墙通用"/>
      <sheetName val="装饰"/>
      <sheetName val="分期进度表"/>
      <sheetName val="工程量汇总表"/>
      <sheetName val="地坪"/>
      <sheetName val="脚手架及线条"/>
      <sheetName val="台阶"/>
      <sheetName val="F1~2承台"/>
      <sheetName val="计算表 (非通用)"/>
      <sheetName val="工程量汇"/>
      <sheetName val="独立基础"/>
      <sheetName val="条型基础"/>
      <sheetName val="基础梁"/>
      <sheetName val="柱"/>
      <sheetName val="挡土墙"/>
      <sheetName val="F8~9台阶"/>
      <sheetName val="F8-9地坪"/>
      <sheetName val="F8-9脚手架及线条"/>
      <sheetName val="F8~9圆形柱及零星"/>
      <sheetName val="F8~9砼墙"/>
      <sheetName val="基础梁F8~9 "/>
      <sheetName val="基础梁F1~2 "/>
      <sheetName val="总栋号统计"/>
      <sheetName val="清单名称"/>
      <sheetName val="汇总"/>
      <sheetName val="标段汇总"/>
      <sheetName val="2标段"/>
      <sheetName val="3标段"/>
      <sheetName val="4标段"/>
      <sheetName val="5标段"/>
      <sheetName val="6标段"/>
      <sheetName val="7标段"/>
      <sheetName val="电梯大堂"/>
      <sheetName val="4.基础梁拉梁"/>
      <sheetName val="8"/>
      <sheetName val="八.单梁连续梁通用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屋面板通用"/>
      <sheetName val="97取费(定额直接费)"/>
      <sheetName val="F10~22柱通用"/>
      <sheetName val="砖墙通用"/>
      <sheetName val="计算表(通用)"/>
      <sheetName val="构造柱通用"/>
      <sheetName val="矩形梁(F10~22)通用 "/>
      <sheetName val="楼梯通用"/>
      <sheetName val="门窗表通用"/>
      <sheetName val="板通用"/>
      <sheetName val="圈过梁通用"/>
      <sheetName val="#REF!"/>
      <sheetName val="基础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分期汇总表 "/>
      <sheetName val="分期进度表"/>
      <sheetName val="工程量汇总表"/>
      <sheetName val="装饰"/>
      <sheetName val="砖墙通用"/>
      <sheetName val="台阶"/>
      <sheetName val="砼墙（F1~5）通用"/>
      <sheetName val="地坪"/>
      <sheetName val="厨厕通用"/>
      <sheetName val="脚手架及线条"/>
      <sheetName val="楼梯通用"/>
      <sheetName val="屋面瓦通用"/>
      <sheetName val="屋面板通用"/>
      <sheetName val="板通用"/>
      <sheetName val="门窗表"/>
      <sheetName val="构造柱"/>
      <sheetName val="圈过梁"/>
      <sheetName val="建筑面积通用"/>
      <sheetName val="计算表(通用)"/>
      <sheetName val="计算表 (非通用)"/>
      <sheetName val="矩形梁(F1~9)通用 "/>
      <sheetName val="F1~2、(F3~5)柱通用"/>
      <sheetName val="F1~2承台"/>
      <sheetName val="广州万科四季花城一期"/>
      <sheetName val="#REF!"/>
      <sheetName val="内围地梁钢筋说明"/>
      <sheetName val="柱"/>
      <sheetName val="97取费(定额直接费)"/>
      <sheetName val="F10~22柱通用"/>
      <sheetName val="构造柱通用"/>
      <sheetName val="矩形梁(F10~22)通用 "/>
      <sheetName val="门窗表通用"/>
      <sheetName val="圈过梁通用"/>
      <sheetName val="工作台帐"/>
      <sheetName val="3"/>
      <sheetName val="5201.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备注"/>
      <sheetName val="管桩"/>
      <sheetName val="承台基础"/>
      <sheetName val="地梁"/>
      <sheetName val="异柱"/>
      <sheetName val="矩柱"/>
      <sheetName val="构造柱"/>
      <sheetName val="电梯井壁"/>
      <sheetName val="直梁"/>
      <sheetName val="圈梁"/>
      <sheetName val="楼板"/>
      <sheetName val="挑檐"/>
      <sheetName val="栏板"/>
      <sheetName val="空调板"/>
      <sheetName val="雨篷"/>
      <sheetName val="梯板"/>
      <sheetName val="sum(Flooring 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版本控制页"/>
      <sheetName val="填表指引"/>
      <sheetName val="假设条件及经济指标"/>
      <sheetName val="勾稽关系"/>
      <sheetName val="经济指标"/>
      <sheetName val="规划指标"/>
      <sheetName val="项目开发强度计算器"/>
      <sheetName val="成本汇总"/>
      <sheetName val="投资估算表"/>
      <sheetName val="开发和销售计划"/>
      <sheetName val="项目现金流量表"/>
      <sheetName val="项目现金流量图"/>
      <sheetName val="资金需求分析表"/>
      <sheetName val="资金组织流量图"/>
      <sheetName val="沿海现金流量表"/>
      <sheetName val="合作方现金流量表"/>
      <sheetName val="利润测算"/>
      <sheetName val="现金流出表"/>
      <sheetName val="敏感性分析"/>
      <sheetName val="税费说明表"/>
      <sheetName val="项目分期方案"/>
      <sheetName val="经济效益分析表"/>
      <sheetName val="复地集团项目开发周期表"/>
      <sheetName val="项目基本情况"/>
      <sheetName val="   合同台账  "/>
      <sheetName val="无合同工程及销费"/>
      <sheetName val="科目列表"/>
      <sheetName val="8"/>
      <sheetName val="6"/>
      <sheetName val="面积合计（藏）"/>
      <sheetName val="7"/>
      <sheetName val="3"/>
      <sheetName val="4"/>
      <sheetName val="投标材料清单 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1.建筑面积"/>
      <sheetName val="2.管桩"/>
      <sheetName val="3.承台"/>
      <sheetName val="4.基础梁拉梁"/>
      <sheetName val="4.基础梁"/>
      <sheetName val="5.梁"/>
      <sheetName val="6.板"/>
      <sheetName val="7.柱 (±0.00以下)"/>
      <sheetName val="7.柱(±0.00以上)"/>
      <sheetName val="8.墙"/>
      <sheetName val="9.砖砌体"/>
      <sheetName val="10.脚手架"/>
      <sheetName val="11.楼梯"/>
      <sheetName val="12.门窗表"/>
      <sheetName val="13.屋面"/>
      <sheetName val="14.内外装饰"/>
      <sheetName val="23签证、联系单"/>
      <sheetName val="15.大样"/>
      <sheetName val="16.零星"/>
      <sheetName val="17.承台钢筋"/>
      <sheetName val="18.梁钢筋"/>
      <sheetName val="19.柱钢筋(±0.00以下)"/>
      <sheetName val="19.柱钢筋(±0.00以上)"/>
      <sheetName val="20.板钢筋"/>
      <sheetName val="21.楼梯钢筋"/>
      <sheetName val="22.零星钢筋"/>
      <sheetName val="B2-02(06-11~07-01)"/>
      <sheetName val="说明"/>
      <sheetName val="钢筋"/>
      <sheetName val="建筑面积"/>
      <sheetName val="屋脊线"/>
      <sheetName val="承台"/>
      <sheetName val="地梁"/>
      <sheetName val="底板"/>
      <sheetName val="柱"/>
      <sheetName val="梁"/>
      <sheetName val="板"/>
      <sheetName val="屋面斜板"/>
      <sheetName val="楼梯"/>
      <sheetName val="砌体"/>
      <sheetName val="外墙抹灰"/>
      <sheetName val="楼地面"/>
      <sheetName val="屋面"/>
      <sheetName val="栏杆"/>
      <sheetName val="脚手架"/>
      <sheetName val="其它构件"/>
      <sheetName val="台散坡"/>
      <sheetName val="门窗"/>
      <sheetName val="F1~2承台"/>
      <sheetName val="计算表(通用)"/>
      <sheetName val="八.单梁连续梁通用"/>
      <sheetName val="屋面板通用"/>
      <sheetName val="97取费(定额直接费)"/>
      <sheetName val="F10~22柱通用"/>
      <sheetName val="砖墙通用"/>
      <sheetName val="构造柱通用"/>
      <sheetName val="装饰"/>
      <sheetName val="矩形梁(F10~22)通用 "/>
      <sheetName val="楼梯通用"/>
      <sheetName val="门窗表通用"/>
      <sheetName val="板通用"/>
      <sheetName val="圈过梁通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汇总表1"/>
      <sheetName val="汇总表"/>
      <sheetName val="墙面"/>
      <sheetName val="天棚"/>
      <sheetName val="柱面"/>
      <sheetName val="A电槽"/>
      <sheetName val="给排水管道"/>
      <sheetName val="喷淋管道"/>
      <sheetName val="地坪"/>
      <sheetName val="A楼梯"/>
      <sheetName val="车道箭头"/>
      <sheetName val="车位线道"/>
      <sheetName val="临时道路设施"/>
      <sheetName val="签证"/>
      <sheetName val="第三方索赔"/>
      <sheetName val="罚款"/>
      <sheetName val="索赔汇总表"/>
      <sheetName val="Sheet2"/>
      <sheetName val="地梁"/>
      <sheetName val="外墙 (130栋)  "/>
      <sheetName val="承台(砖模) "/>
      <sheetName val="柱"/>
      <sheetName val="97取费(定额直接费)"/>
      <sheetName val="工作台帐"/>
      <sheetName val="基础项目"/>
      <sheetName val="#REF!"/>
      <sheetName val="3"/>
      <sheetName val="工程量表"/>
      <sheetName val="屋面板通用"/>
      <sheetName val="F10~22柱通用"/>
      <sheetName val="砖墙通用"/>
      <sheetName val="计算表(通用)"/>
      <sheetName val="构造柱通用"/>
      <sheetName val="装饰"/>
      <sheetName val="矩形梁(F10~22)通用 "/>
      <sheetName val="楼梯通用"/>
      <sheetName val="门窗表通用"/>
      <sheetName val="板通用"/>
      <sheetName val="圈过梁通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s"/>
      <sheetName val="目录"/>
      <sheetName val="MSL1"/>
      <sheetName val="MSL2"/>
      <sheetName val="MSL3"/>
      <sheetName val="MSL4"/>
      <sheetName val="MSL5"/>
      <sheetName val="MSL6"/>
      <sheetName val="MSL7"/>
      <sheetName val="MSL8"/>
      <sheetName val="MSL9"/>
      <sheetName val="MSL10"/>
      <sheetName val="MSL11"/>
      <sheetName val="现金流量表DEC-JUN00"/>
      <sheetName val="华房01"/>
      <sheetName val="健翔01"/>
      <sheetName val="京通01"/>
      <sheetName val="040506利息分摊"/>
      <sheetName val="2006内部公司往来利息及调整（per entity）"/>
      <sheetName val="07利息分摊"/>
      <sheetName val="成本测算"/>
      <sheetName val="时间设置"/>
      <sheetName val="基础数据测算"/>
      <sheetName val="5201.2004"/>
      <sheetName val="2004年"/>
      <sheetName val="2006年"/>
      <sheetName val="2005年"/>
      <sheetName val="资本化利息分配表"/>
      <sheetName val="基础资料（B）"/>
      <sheetName val="Inv_days #5"/>
      <sheetName val="报表项目名称序列"/>
      <sheetName val="2经济测算"/>
      <sheetName val="P&amp;L"/>
      <sheetName val="1.资金支付台帐"/>
      <sheetName val="总成本、总收入、租赁收入、资产估值"/>
      <sheetName val="Aging Datasheet"/>
      <sheetName val="XLR_NoRangeSheet"/>
      <sheetName val="模板"/>
      <sheetName val="综合单价汇总表"/>
      <sheetName val="总措施项目"/>
      <sheetName val="#REF!"/>
      <sheetName val="复地集团项目开发周期表"/>
      <sheetName val="项目基本情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甲供料表"/>
      <sheetName val="人工挖孔桩"/>
      <sheetName val="承台(砖模) "/>
      <sheetName val="承台(木模)"/>
      <sheetName val="基础梁"/>
      <sheetName val="梁"/>
      <sheetName val="柱"/>
      <sheetName val="计算试"/>
      <sheetName val="砖墙"/>
      <sheetName val="门窗表"/>
      <sheetName val="#REF!"/>
      <sheetName val="工作台帐"/>
      <sheetName val="基础项目"/>
      <sheetName val="A8独立基础 "/>
      <sheetName val="97取费(定额直接费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模板"/>
      <sheetName val="总汇表"/>
      <sheetName val="总措施项目"/>
      <sheetName val="单位工程措施项目"/>
      <sheetName val="综合单价汇总表"/>
      <sheetName val="B4G"/>
      <sheetName val="G1G"/>
      <sheetName val="G1G联体"/>
      <sheetName val="G2G "/>
      <sheetName val="G3G"/>
      <sheetName val="H1G"/>
      <sheetName val="H3G"/>
      <sheetName val="J1G"/>
      <sheetName val="J2G"/>
      <sheetName val="J3G"/>
      <sheetName val="K1G"/>
      <sheetName val="C2-1"/>
      <sheetName val="C2-3"/>
      <sheetName val="C5-1"/>
      <sheetName val="C5-3"/>
      <sheetName val="C5-2"/>
      <sheetName val="C5-4"/>
      <sheetName val="D1-2"/>
      <sheetName val="D1-4"/>
      <sheetName val="清单"/>
      <sheetName val="至10月末全成本汇总表（动态）"/>
      <sheetName val="封面"/>
      <sheetName val="加压泵房"/>
      <sheetName val="   合同台账  "/>
      <sheetName val="无合同工程及销费"/>
      <sheetName val="科目列表"/>
      <sheetName val="汇总表"/>
      <sheetName val="#REF!"/>
      <sheetName val="主楼垫层"/>
      <sheetName val="移交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sum(Flooring )"/>
      <sheetName val="NS-wall"/>
      <sheetName val="Sheet1"/>
      <sheetName val="Sheet2"/>
      <sheetName val="Sheet3"/>
      <sheetName val="B70.71#楼"/>
      <sheetName val="F10~22圆形柱及零星非通用"/>
      <sheetName val="厨厕通用"/>
      <sheetName val="地坪"/>
      <sheetName val="装饰"/>
      <sheetName val="过渡数据表"/>
      <sheetName val="单位库"/>
      <sheetName val="工程量表"/>
      <sheetName val="基础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表头"/>
      <sheetName val="泰禾科目"/>
      <sheetName val="泰禾科目(选择）"/>
      <sheetName val="泰禾科目(选择） (2)"/>
      <sheetName val="成本汇总表"/>
      <sheetName val="责任部门成本表"/>
      <sheetName val="动态成本"/>
      <sheetName val="Sheet2"/>
      <sheetName val="表1-项目规划指标表（运营部）"/>
      <sheetName val="模板"/>
      <sheetName val="Parameters"/>
      <sheetName val="复地集团项目开发周期表"/>
      <sheetName val="项目基本情况"/>
      <sheetName val="5201.2004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过渡数据表"/>
      <sheetName val="60推拉窗"/>
      <sheetName val="型材表"/>
      <sheetName val="供应商表"/>
      <sheetName val="厂家类型表"/>
      <sheetName val="B7栋16-19层"/>
      <sheetName val="Sheet1"/>
      <sheetName val="Sheet2"/>
      <sheetName val="补LM4 (2)"/>
      <sheetName val="CM1"/>
      <sheetName val="sum(Flooring )"/>
      <sheetName val="单价"/>
      <sheetName val="#REF!"/>
      <sheetName val="General"/>
      <sheetName val="钢材单重"/>
      <sheetName val="分类"/>
      <sheetName val="钢架dun"/>
      <sheetName val="门窗表"/>
      <sheetName val="门窗"/>
      <sheetName val="XLR_NoRangeSheet"/>
      <sheetName val="Macro1"/>
      <sheetName val="骨浆计算式(备)"/>
      <sheetName val="1"/>
      <sheetName val="清单汇总"/>
      <sheetName val="价格表 "/>
      <sheetName val="单位"/>
      <sheetName val="Sheet3"/>
      <sheetName val="单位库"/>
      <sheetName val="工程量计算表"/>
      <sheetName val="A计算"/>
      <sheetName val="门窗139"/>
      <sheetName val="副框137"/>
      <sheetName val="1#配电房"/>
      <sheetName val="177、178门窗面清洁"/>
      <sheetName val="工作台帐"/>
      <sheetName val="下拉菜单"/>
      <sheetName val="屋脊线"/>
      <sheetName val="B1-03"/>
      <sheetName val="B70.71#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电气"/>
      <sheetName val="电气汇总表"/>
      <sheetName val="弱电"/>
      <sheetName val="弱电汇总表"/>
      <sheetName val="防雷"/>
      <sheetName val="防雷汇总表"/>
      <sheetName val="消防水"/>
      <sheetName val="消防水汇总表"/>
      <sheetName val="下拉菜单"/>
      <sheetName val="给排水"/>
      <sheetName val="给排水汇总表"/>
      <sheetName val="使用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汇总表"/>
      <sheetName val="消防水"/>
      <sheetName val="消防弱电"/>
      <sheetName val="单位"/>
      <sheetName val="过渡数据表"/>
      <sheetName val="骨浆计算式(备)"/>
      <sheetName val="11"/>
      <sheetName val="门窗表"/>
      <sheetName val="计算式明细"/>
      <sheetName val="地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装饰汇总"/>
      <sheetName val="1"/>
      <sheetName val="2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土建工程综合单价表"/>
      <sheetName val="土建工程综合单价组价明细表"/>
      <sheetName val="A8独立基础 "/>
      <sheetName val="过渡数据表"/>
      <sheetName val="门窗表"/>
      <sheetName val="十八.门窗表,门框塞缝"/>
      <sheetName val="三.基础梁"/>
      <sheetName val="九.楼梯"/>
      <sheetName val="十一.屋面瓦通用"/>
      <sheetName val="十六.零星,屋面做法计算表"/>
      <sheetName val="工作台帐"/>
      <sheetName val="基础项目"/>
      <sheetName val="#REF!"/>
      <sheetName val="内围地梁钢筋说明"/>
      <sheetName val="杂项钢筋"/>
      <sheetName val="台阶"/>
      <sheetName val="3.基础梁"/>
      <sheetName val="分类"/>
      <sheetName val="B1-03"/>
      <sheetName val="价格表 "/>
      <sheetName val="钢板桩"/>
      <sheetName val="其他"/>
      <sheetName val="厨厕通用"/>
      <sheetName val="地坪"/>
      <sheetName val="装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零星"/>
      <sheetName val="主楼垫层"/>
      <sheetName val="地梁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总栋号统计"/>
      <sheetName val="清单名称"/>
      <sheetName val="汇总"/>
      <sheetName val="标段汇总"/>
      <sheetName val="2标段"/>
      <sheetName val="3标段"/>
      <sheetName val="4标段"/>
      <sheetName val="5标段"/>
      <sheetName val="6标段"/>
      <sheetName val="7标段"/>
      <sheetName val="电梯大堂"/>
      <sheetName val="#REF!"/>
      <sheetName val="杂项钢筋"/>
      <sheetName val="台阶"/>
      <sheetName val="屋面板通用"/>
      <sheetName val="97取费(定额直接费)"/>
      <sheetName val="F10~22柱通用"/>
      <sheetName val="砖墙通用"/>
      <sheetName val="计算表(通用)"/>
      <sheetName val="构造柱通用"/>
      <sheetName val="装饰"/>
      <sheetName val="矩形梁(F10~22)通用 "/>
      <sheetName val="楼梯通用"/>
      <sheetName val="门窗表通用"/>
      <sheetName val="板通用"/>
      <sheetName val="圈过梁通用"/>
      <sheetName val="十八.门窗表,门框塞缝"/>
      <sheetName val="三.基础梁"/>
      <sheetName val="九.楼梯"/>
      <sheetName val="十一.屋面瓦通用"/>
      <sheetName val="十六.零星,屋面做法计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总栋号统计"/>
      <sheetName val="清单名称"/>
      <sheetName val="汇总"/>
      <sheetName val="标段汇总"/>
      <sheetName val="2标段"/>
      <sheetName val="3标段"/>
      <sheetName val="4标段"/>
      <sheetName val="5标段"/>
      <sheetName val="6标段"/>
      <sheetName val="7标段"/>
      <sheetName val="电梯大堂"/>
      <sheetName val="材料价格"/>
      <sheetName val="计算稿"/>
      <sheetName val="台阶"/>
      <sheetName val="3.基础梁"/>
      <sheetName val="97取费(定额直接费)"/>
      <sheetName val="工作台帐"/>
      <sheetName val="门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广州万科四季花城一期"/>
      <sheetName val="#REF!"/>
      <sheetName val="3.基础梁"/>
      <sheetName val="结算书 (2)"/>
      <sheetName val="石材采购结算清单"/>
      <sheetName val="C编制说明"/>
      <sheetName val="结算书"/>
      <sheetName val="石材铺装结算清单"/>
      <sheetName val="钢架dun"/>
      <sheetName val="P编制说明"/>
      <sheetName val="骨浆计算式(备)"/>
      <sheetName val="总栋号统计"/>
      <sheetName val="清单名称"/>
      <sheetName val="汇总"/>
      <sheetName val="标段汇总"/>
      <sheetName val="2标段"/>
      <sheetName val="3标段"/>
      <sheetName val="4标段"/>
      <sheetName val="5标段"/>
      <sheetName val="6标段"/>
      <sheetName val="7标段"/>
      <sheetName val="电梯大堂"/>
      <sheetName val="0"/>
      <sheetName val="鋼筋統計表"/>
      <sheetName val="B4F柱筋"/>
      <sheetName val="B3F梁筋"/>
      <sheetName val="B3F板钢筋"/>
      <sheetName val="40M3水箱"/>
      <sheetName val="250M3水箱"/>
      <sheetName val="地库钻孔插铁"/>
      <sheetName val="sum(Flooring )"/>
      <sheetName val="柱计算"/>
      <sheetName val="过渡数据表"/>
      <sheetName val="60推拉窗"/>
      <sheetName val="型材表"/>
      <sheetName val="供应商表"/>
      <sheetName val="厂家类型表"/>
      <sheetName val="B7栋16-19层"/>
      <sheetName val="Sheet1"/>
      <sheetName val="Sheet2"/>
      <sheetName val="补LM4 (2)"/>
      <sheetName val="CM1"/>
      <sheetName val="单价"/>
      <sheetName val="97取费(定额直接费)"/>
      <sheetName val="F1~2承台"/>
      <sheetName val="4.基础梁拉梁"/>
      <sheetName val="非通用工程量汇总表 (3-18) "/>
      <sheetName val="计算表 (非通用)"/>
      <sheetName val="内围地梁钢筋说明"/>
      <sheetName val="台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型材线密度表"/>
      <sheetName val="LC01 (2)"/>
      <sheetName val="钢材"/>
      <sheetName val="铝材表面处理"/>
      <sheetName val="玻璃"/>
      <sheetName val="五金配件(1)"/>
      <sheetName val="五金配件(2)"/>
      <sheetName val="五金配件(3)"/>
      <sheetName val="密封胶"/>
      <sheetName val="附件"/>
      <sheetName val="LC01"/>
      <sheetName val="上悬67"/>
      <sheetName val="推拉05"/>
      <sheetName val="平开门"/>
      <sheetName val="门连窗"/>
      <sheetName val="推拉门"/>
      <sheetName val="地弹簧门(无框)"/>
      <sheetName val="地弹簧门(有框)"/>
      <sheetName val="LC32"/>
      <sheetName val="LC32a"/>
      <sheetName val="TLC01"/>
      <sheetName val="LM01a"/>
      <sheetName val="LM01b"/>
      <sheetName val="TLM01a"/>
      <sheetName val="TLM01b"/>
      <sheetName val="TLM01c"/>
      <sheetName val="DHM01"/>
      <sheetName val="DYM01"/>
      <sheetName val="#REF!"/>
      <sheetName val="基础项目"/>
      <sheetName val="汇总表及手算计算格式 (2)"/>
      <sheetName val="5期B栋会所装饰精装修"/>
      <sheetName val="Sheet9"/>
      <sheetName val="暖通"/>
      <sheetName val="H29,H31"/>
      <sheetName val="给排水工程量计算书"/>
      <sheetName val="工作台帐"/>
      <sheetName val="F1~2承台"/>
      <sheetName val="非通用工程量汇总表 (3-18) "/>
      <sheetName val="计算表 (非通用)"/>
      <sheetName val="97取费(定额直接费)"/>
      <sheetName val="4.基础梁拉梁"/>
      <sheetName val="计算表(通用)"/>
      <sheetName val="承台(砖模) "/>
      <sheetName val="柱"/>
      <sheetName val="门窗表"/>
      <sheetName val="十八.门窗表,门框塞缝"/>
      <sheetName val="三.基础梁"/>
      <sheetName val="九.楼梯"/>
      <sheetName val="十一.屋面瓦通用"/>
      <sheetName val="十六.零星,屋面做法计算表"/>
      <sheetName val="杂项钢筋"/>
      <sheetName val="3.基础梁"/>
      <sheetName val="材料单价"/>
      <sheetName val="F10~22圆形柱及零星非通用"/>
      <sheetName val="厨厕通用"/>
      <sheetName val="地坪"/>
      <sheetName val="装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ZB"/>
      <sheetName val="MXB1"/>
      <sheetName val="MXB2"/>
      <sheetName val="MXB3"/>
      <sheetName val="MXB4"/>
      <sheetName val="MXB5"/>
      <sheetName val="MXB6"/>
      <sheetName val="MXB7"/>
      <sheetName val="MXB8"/>
      <sheetName val="MXB9"/>
      <sheetName val="MXB10"/>
      <sheetName val="MXB11"/>
      <sheetName val="MXB12"/>
      <sheetName val="MXB13"/>
      <sheetName val="MXB14"/>
      <sheetName val="MXB15"/>
      <sheetName val="MXB16"/>
      <sheetName val="MXB17"/>
      <sheetName val="MXB18"/>
      <sheetName val="MXB19"/>
      <sheetName val="MXB20"/>
      <sheetName val="MXB21"/>
      <sheetName val="MXB22"/>
      <sheetName val="MXB23"/>
      <sheetName val="MXB24"/>
      <sheetName val="MXB25"/>
      <sheetName val="MXB26"/>
      <sheetName val="MXB27"/>
      <sheetName val="MXB28"/>
      <sheetName val="MXB29"/>
      <sheetName val="MXB30"/>
      <sheetName val="MXB31"/>
      <sheetName val="MXB32"/>
      <sheetName val="MXB33"/>
      <sheetName val="Macro1"/>
      <sheetName val="SW-TEO"/>
      <sheetName val="总表"/>
      <sheetName val="汇总表"/>
      <sheetName val="sum(Flooring )"/>
      <sheetName val="二标采购"/>
      <sheetName val="钢架dun"/>
      <sheetName val="3.基础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预算总表"/>
      <sheetName val="预算明细"/>
      <sheetName val="预算制作"/>
      <sheetName val="项目分类"/>
      <sheetName val="地面工程"/>
      <sheetName val="墙面工程"/>
      <sheetName val="顶面工程"/>
      <sheetName val="门窗工程"/>
      <sheetName val="水电工程"/>
      <sheetName val="拆除工程"/>
      <sheetName val="制作项目"/>
      <sheetName val="其他工程"/>
      <sheetName val="购买主材"/>
      <sheetName val="基础项目"/>
      <sheetName val="21"/>
      <sheetName val="内围地梁钢筋说明"/>
      <sheetName val="#REF!"/>
      <sheetName val="承台(砖模) "/>
      <sheetName val="柱"/>
      <sheetName val="工程量计算书"/>
      <sheetName val="标准表格"/>
      <sheetName val="梁"/>
      <sheetName val="下拉菜单"/>
      <sheetName val="四季花城城南地块户型面积"/>
      <sheetName val="B4零星"/>
      <sheetName val="5201.2004"/>
      <sheetName val="单位"/>
      <sheetName val="总措施项目"/>
      <sheetName val="室外园林电气工程"/>
      <sheetName val="清单汇总"/>
      <sheetName val="过渡数据表"/>
      <sheetName val="F10~22圆形柱及零星非通用"/>
      <sheetName val="厨厕通用"/>
      <sheetName val="地坪"/>
      <sheetName val="装饰"/>
      <sheetName val="F1~2承台"/>
      <sheetName val="非通用工程量汇总表 (3-18) "/>
      <sheetName val="计算表 (非通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备注"/>
      <sheetName val="管桩"/>
      <sheetName val="承台基础"/>
      <sheetName val="地梁"/>
      <sheetName val="异柱"/>
      <sheetName val="矩柱"/>
      <sheetName val="构造柱"/>
      <sheetName val="电梯井壁"/>
      <sheetName val="直梁"/>
      <sheetName val="圈梁"/>
      <sheetName val="楼板"/>
      <sheetName val="挑檐"/>
      <sheetName val="栏板"/>
      <sheetName val="空调板"/>
      <sheetName val="雨篷"/>
      <sheetName val="梯板"/>
      <sheetName val="基础"/>
      <sheetName val="#REF!"/>
      <sheetName val="汇总表"/>
      <sheetName val="sum(Flooring )"/>
      <sheetName val="清单汇总"/>
      <sheetName val="总栋号统计"/>
      <sheetName val="清单名称"/>
      <sheetName val="门窗表"/>
      <sheetName val="EVALUATE电梯集水井、风井"/>
      <sheetName val="骨浆计算式(备)"/>
      <sheetName val="主楼垫层"/>
      <sheetName val="计算式明细"/>
      <sheetName val="工程量计算表"/>
      <sheetName val="成本科目"/>
      <sheetName val="过渡数据表"/>
      <sheetName val="钢板桩"/>
      <sheetName val="其他"/>
      <sheetName val="B1-03"/>
      <sheetName val="罚款"/>
      <sheetName val="Sheetl"/>
      <sheetName val="1标段汇总表"/>
      <sheetName val="给排水工程量计算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报告"/>
      <sheetName val="汇总表 "/>
      <sheetName val="移交表"/>
      <sheetName val="资料移交"/>
      <sheetName val="签证"/>
      <sheetName val="Sheet1"/>
      <sheetName val="12栋收方总方数"/>
      <sheetName val="合同对比"/>
      <sheetName val="收方对比"/>
      <sheetName val="增减部分"/>
      <sheetName val="二标采购"/>
      <sheetName val="三标采购"/>
      <sheetName val="四标采购"/>
      <sheetName val="五标采购"/>
      <sheetName val="六七标采购"/>
      <sheetName val="M2采购"/>
      <sheetName val="M2安装"/>
      <sheetName val="二标安装"/>
      <sheetName val="三标安装"/>
      <sheetName val="四标安装"/>
      <sheetName val="五标安装"/>
      <sheetName val="六七标安装"/>
      <sheetName val="安装单价"/>
      <sheetName val="其他户型安装"/>
      <sheetName val="#REF!"/>
      <sheetName val="1"/>
      <sheetName val="型材线密度表"/>
      <sheetName val="内围地梁钢筋说明"/>
      <sheetName val="承台(砖模) "/>
      <sheetName val="柱"/>
      <sheetName val="F1~2承台"/>
      <sheetName val="计算表(通用)"/>
      <sheetName val="十八.门窗表,门框塞缝"/>
      <sheetName val="门窗表"/>
      <sheetName val="三.基础梁"/>
      <sheetName val="九.楼梯"/>
      <sheetName val="十一.屋面瓦通用"/>
      <sheetName val="十六.零星,屋面做法计算表"/>
      <sheetName val="杂项钢筋"/>
      <sheetName val="过渡数据表"/>
      <sheetName val="F10~22圆形柱及零星非通用"/>
      <sheetName val="清单"/>
      <sheetName val="4.基础梁拉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桩承台"/>
      <sheetName val="备注"/>
      <sheetName val="柱"/>
      <sheetName val="剪力墙"/>
      <sheetName val="梁计算式"/>
      <sheetName val="楼板"/>
      <sheetName val="构造柱"/>
      <sheetName val="反梁"/>
      <sheetName val="挑檐 "/>
      <sheetName val="栏板"/>
      <sheetName val="阳台、雨蓬"/>
      <sheetName val="电梯坑墙 "/>
      <sheetName val="楼梯"/>
      <sheetName val="砌砖内墙 (2)"/>
      <sheetName val="砌砖外墙 (2)"/>
      <sheetName val="门窗 (2)"/>
      <sheetName val="地梁"/>
      <sheetName val="总栋号统计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计算稿"/>
      <sheetName val="签证"/>
      <sheetName val="非业主签证"/>
      <sheetName val="其他单位索赔"/>
      <sheetName val="供料索赔"/>
      <sheetName val="罚款"/>
      <sheetName val="结算总包"/>
      <sheetName val="结算书"/>
      <sheetName val="结算书计价清单 (结算)"/>
      <sheetName val="开关、插座面板暂定超领"/>
      <sheetName val="汇总表"/>
      <sheetName val="骨浆计算式(备)"/>
      <sheetName val="价格表 "/>
      <sheetName val="使用说明"/>
      <sheetName val="钢材单重"/>
      <sheetName val="分类"/>
      <sheetName val="屋脊线"/>
      <sheetName val="#REF!"/>
      <sheetName val="B70.71#楼"/>
      <sheetName val="其他"/>
      <sheetName val="五楼"/>
      <sheetName val="清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1-工程量清单 (2)"/>
      <sheetName val="编制说明2-报价须知 (2)"/>
      <sheetName val="编制说明3-清单说明 (2)"/>
      <sheetName val="工程概况"/>
      <sheetName val="费用及指标表"/>
      <sheetName val="汇总表"/>
      <sheetName val="一号清单"/>
      <sheetName val="二号清单"/>
      <sheetName val="三号清单汇总"/>
      <sheetName val="基坑支护"/>
      <sheetName val="桩基础"/>
      <sheetName val="地下室土建"/>
      <sheetName val="商业"/>
      <sheetName val="安置房"/>
      <sheetName val="商品房"/>
      <sheetName val="肉菜市场"/>
      <sheetName val="地下室给排水"/>
      <sheetName val="地下室电气"/>
      <sheetName val="1#安置房给排水"/>
      <sheetName val="1#楼安置房电气"/>
      <sheetName val="2#商住房给排水"/>
      <sheetName val="2#楼商住房电气"/>
      <sheetName val="1#楼商业给排水"/>
      <sheetName val="1#楼商业电气"/>
      <sheetName val="肉菜市场给排水"/>
      <sheetName val="肉菜市场电气"/>
      <sheetName val="1#商业通风"/>
      <sheetName val="主要材料询价表"/>
      <sheetName val="市场人工"/>
      <sheetName val="甲供主材"/>
      <sheetName val="桩基zj"/>
      <sheetName val="基坑zj"/>
      <sheetName val="砌体zj "/>
      <sheetName val="混凝土zj"/>
      <sheetName val="钢材zj"/>
      <sheetName val="金属结构工程"/>
      <sheetName val="防水zj "/>
      <sheetName val="屋面zj"/>
      <sheetName val="保温zj"/>
      <sheetName val="地面 zj"/>
      <sheetName val="墙面抹灰 zj"/>
      <sheetName val="集水井成品zj"/>
      <sheetName val="模板组价"/>
      <sheetName val="常用零星工程综合单价表  (2)"/>
      <sheetName val="其他zj"/>
      <sheetName val="大型机械进出场费、租赁费、基础 "/>
      <sheetName val="人货梯基础"/>
      <sheetName val="塔吊基础（底板范围内）"/>
      <sheetName val="综合单价分析表（通风）"/>
      <sheetName val="综合单价分析表（给排水）"/>
      <sheetName val="综合单价分析表(电气）"/>
      <sheetName val="十八.门窗表,门框塞缝"/>
      <sheetName val="承台 "/>
      <sheetName val="#REF!"/>
      <sheetName val="墙面工程"/>
      <sheetName val="材料单价"/>
      <sheetName val="承台(砖模) "/>
      <sheetName val="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填表说明"/>
      <sheetName val="合同台帐汇总"/>
      <sheetName val="印花税税率"/>
      <sheetName val="成本科目"/>
      <sheetName val="土地T"/>
      <sheetName val="前期工程F"/>
      <sheetName val="建安工程G"/>
      <sheetName val="总包合同Z"/>
      <sheetName val="基础设施工程J"/>
      <sheetName val="配套设施工程P"/>
      <sheetName val="开发间接K"/>
      <sheetName val="企划营销Y"/>
      <sheetName val="管理B"/>
      <sheetName val="贷款利息表"/>
      <sheetName val="工程押金保证金明细表"/>
      <sheetName val="履约保函明细表"/>
      <sheetName val="总包及重大工程的合同款明细表"/>
      <sheetName val="Sheet1"/>
      <sheetName val="兼容性报表"/>
      <sheetName val="2、规划指标"/>
      <sheetName val="表1-项目规划指标表（运营部）"/>
      <sheetName val="模板"/>
      <sheetName val="华房01"/>
      <sheetName val="健翔01"/>
      <sheetName val="京通01"/>
      <sheetName val="合计"/>
      <sheetName val="动态成本"/>
      <sheetName val="指标分摊"/>
      <sheetName val="   合同台账  "/>
      <sheetName val="无合同工程及销费"/>
      <sheetName val="付款进度表"/>
      <sheetName val="科目列表"/>
      <sheetName val="成本动态台帐"/>
      <sheetName val="二级成本动态表"/>
      <sheetName val="规划指标"/>
      <sheetName val="目标成本表"/>
      <sheetName val="加压泵房"/>
      <sheetName val="屋脊线"/>
      <sheetName val="目录"/>
      <sheetName val="材料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计算式明细"/>
      <sheetName val="工程量汇总表"/>
      <sheetName val="门窗表"/>
      <sheetName val="门窗汇总表"/>
      <sheetName val="工程指标"/>
      <sheetName val="地梁"/>
      <sheetName val="下拉菜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Parameters"/>
      <sheetName val="目录"/>
      <sheetName val="092-1"/>
      <sheetName val="092-2"/>
      <sheetName val="092-3"/>
      <sheetName val="092-4"/>
      <sheetName val="092-5"/>
      <sheetName val="092-6"/>
      <sheetName val="092-7"/>
      <sheetName val="注解-1"/>
      <sheetName val="注解-2"/>
      <sheetName val="Aging Datasheet"/>
      <sheetName val="ECCS_1 DataSheet"/>
      <sheetName val="KPI Datasheet"/>
      <sheetName val="5201.2004"/>
      <sheetName val="基础资料（B）"/>
      <sheetName val="PL 2007"/>
      <sheetName val="PL 2005"/>
      <sheetName val="PL 2006"/>
      <sheetName val="Inv_days #5"/>
      <sheetName val="成本测算"/>
      <sheetName val="报表项目基本情况表"/>
      <sheetName val="2004年"/>
      <sheetName val="2006年"/>
      <sheetName val="2005年"/>
      <sheetName val="资本化利息分配表"/>
      <sheetName val="华房01"/>
      <sheetName val="健翔01"/>
      <sheetName val="京通01"/>
      <sheetName val="单方成本测算(帐面)"/>
      <sheetName val="成本结转表(IFRS)"/>
      <sheetName val="5清波"/>
      <sheetName val="时间设置"/>
      <sheetName val="Sheet1"/>
      <sheetName val="编码"/>
      <sheetName val="楼宇价目表A10"/>
      <sheetName val="楼宇价目表A9"/>
      <sheetName val="楼宇价目表B1"/>
      <sheetName val="楼宇价目表B2"/>
      <sheetName val="list"/>
      <sheetName val="NAME"/>
      <sheetName val="040506利息分摊"/>
      <sheetName val="2006内部公司往来利息及调整（per entity）"/>
      <sheetName val="07利息分摊"/>
      <sheetName val="4结算明细"/>
      <sheetName val="6签约明细"/>
      <sheetName val="8未结转信息"/>
      <sheetName val="7项目成本表"/>
      <sheetName val="5项目签约"/>
      <sheetName val="工程量计算稿"/>
      <sheetName val="有关参数"/>
      <sheetName val="A翼写字楼"/>
      <sheetName val="8竣工明细"/>
      <sheetName val="9未结转信息"/>
      <sheetName val="泰禾科目(选择） (2)"/>
      <sheetName val="成本汇总表"/>
      <sheetName val="Sheet2"/>
      <sheetName val="指标分摊"/>
      <sheetName val="   合同台账  "/>
      <sheetName val="无合同工程及销费"/>
      <sheetName val="付款进度表"/>
      <sheetName val="科目列表"/>
      <sheetName val="成本科目"/>
      <sheetName val="成本动态台帐"/>
      <sheetName val="二级成本动态表"/>
      <sheetName val="规划指标"/>
      <sheetName val="目标成本表"/>
      <sheetName val="门窗表"/>
      <sheetName val="凤一"/>
      <sheetName val="基本信息"/>
      <sheetName val="资产负债表-海中国"/>
      <sheetName val="资产负债表-物业"/>
      <sheetName val="营业费用截止"/>
      <sheetName val="YS02-02"/>
      <sheetName val="资产负债表"/>
      <sheetName val="成本对标表"/>
      <sheetName val="基础表-住宅建安-独立地库"/>
      <sheetName val="Aging_Datasheet1"/>
      <sheetName val="ECCS_1_DataSheet1"/>
      <sheetName val="KPI_Datasheet1"/>
      <sheetName val="Aging_Datasheet"/>
      <sheetName val="ECCS_1_DataSheet"/>
      <sheetName val="KPI_Datasheet"/>
      <sheetName val="Aging_Datasheet3"/>
      <sheetName val="ECCS_1_DataSheet3"/>
      <sheetName val="KPI_Datasheet3"/>
      <sheetName val="Aging_Datasheet2"/>
      <sheetName val="ECCS_1_DataSheet2"/>
      <sheetName val="KPI_Datasheet2"/>
      <sheetName val="Aging_Datasheet4"/>
      <sheetName val="ECCS_1_DataSheet4"/>
      <sheetName val="KPI_Datasheet4"/>
      <sheetName val="Aging_Datasheet5"/>
      <sheetName val="ECCS_1_DataSheet5"/>
      <sheetName val="KPI_Datasheet5"/>
      <sheetName val="Aging_Datasheet6"/>
      <sheetName val="ECCS_1_DataSheet6"/>
      <sheetName val="KPI_Datasheet6"/>
      <sheetName val="Aging_Datasheet7"/>
      <sheetName val="ECCS_1_DataSheet7"/>
      <sheetName val="KPI_Datasheet7"/>
      <sheetName val="Aging_Datasheet12"/>
      <sheetName val="ECCS_1_DataSheet12"/>
      <sheetName val="KPI_Datasheet12"/>
      <sheetName val="Aging_Datasheet9"/>
      <sheetName val="ECCS_1_DataSheet9"/>
      <sheetName val="KPI_Datasheet9"/>
      <sheetName val="Aging_Datasheet8"/>
      <sheetName val="ECCS_1_DataSheet8"/>
      <sheetName val="KPI_Datasheet8"/>
      <sheetName val="Aging_Datasheet11"/>
      <sheetName val="ECCS_1_DataSheet11"/>
      <sheetName val="KPI_Datasheet11"/>
      <sheetName val="Aging_Datasheet10"/>
      <sheetName val="ECCS_1_DataSheet10"/>
      <sheetName val="KPI_Datasheet10"/>
      <sheetName val="Aging_Datasheet13"/>
      <sheetName val="ECCS_1_DataSheet13"/>
      <sheetName val="KPI_Datasheet13"/>
      <sheetName val="Aging_Datasheet15"/>
      <sheetName val="ECCS_1_DataSheet15"/>
      <sheetName val="KPI_Datasheet15"/>
      <sheetName val="Aging_Datasheet14"/>
      <sheetName val="ECCS_1_DataSheet14"/>
      <sheetName val="KPI_Datasheet14"/>
      <sheetName val="Aging_Datasheet17"/>
      <sheetName val="ECCS_1_DataSheet17"/>
      <sheetName val="KPI_Datasheet17"/>
      <sheetName val="Aging_Datasheet16"/>
      <sheetName val="ECCS_1_DataSheet16"/>
      <sheetName val="KPI_Datasheet16"/>
      <sheetName val="Aging_Datasheet18"/>
      <sheetName val="ECCS_1_DataSheet18"/>
      <sheetName val="KPI_Datasheet18"/>
      <sheetName val="Aging_Datasheet19"/>
      <sheetName val="ECCS_1_DataSheet19"/>
      <sheetName val="KPI_Datasheet19"/>
      <sheetName val="Aging_Datasheet20"/>
      <sheetName val="ECCS_1_DataSheet20"/>
      <sheetName val="KPI_Datasheet20"/>
      <sheetName val="持有假设"/>
      <sheetName val="持有投资估算"/>
      <sheetName val="空港KPI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汇总表"/>
      <sheetName val="零星"/>
      <sheetName val="单位库"/>
      <sheetName val="Sheetl"/>
      <sheetName val="墙面工程"/>
      <sheetName val="21"/>
      <sheetName val="门窗表"/>
      <sheetName val="sum(Flooring )"/>
      <sheetName val="总栋号统计"/>
      <sheetName val="1"/>
      <sheetName val="钢架dun"/>
      <sheetName val="地梁"/>
      <sheetName val="屋脊线"/>
      <sheetName val="外墙 (130栋)  "/>
      <sheetName val="清单名称"/>
      <sheetName val="第五标段"/>
      <sheetName val="H型 (6+1双拼)"/>
      <sheetName val="B1-03"/>
      <sheetName val="工程量表"/>
      <sheetName val="单位"/>
      <sheetName val="钢板桩"/>
      <sheetName val="其他"/>
      <sheetName val="屋项铝单板"/>
      <sheetName val="五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um(Flooring )"/>
      <sheetName val="骨浆计算式(备)"/>
      <sheetName val="finishing6-34"/>
      <sheetName val="finishing35-36"/>
      <sheetName val="finishing37"/>
      <sheetName val="finishing38"/>
      <sheetName val="finishingR"/>
      <sheetName val="finishingWT_UR"/>
      <sheetName val="classification(Flooring)"/>
      <sheetName val="#REF!"/>
      <sheetName val="第三方负责金额"/>
      <sheetName val="索赔 施工单位之间"/>
      <sheetName val="汇总 "/>
      <sheetName val="缺漏项统计表"/>
      <sheetName val="罚款统计表"/>
      <sheetName val="索赔"/>
      <sheetName val="Sheet1"/>
      <sheetName val="0"/>
      <sheetName val="鋼筋統計表"/>
      <sheetName val="B4F柱筋"/>
      <sheetName val="B3F梁筋"/>
      <sheetName val="B3F板钢筋"/>
      <sheetName val="40M3水箱"/>
      <sheetName val="250M3水箱"/>
      <sheetName val="地库钻孔插铁"/>
      <sheetName val="柱计算"/>
      <sheetName val="楼梯钢筋"/>
      <sheetName val="封面"/>
      <sheetName val="汇总表"/>
      <sheetName val="行高&lt;11号字高&gt;工程量计算表1"/>
      <sheetName val="行高&lt;12号字高&gt;工程量计算表2"/>
      <sheetName val="行高&lt;13号字高&gt;工程量计算表3"/>
      <sheetName val="工程量计算表4"/>
      <sheetName val="工程量计算表5"/>
      <sheetName val="工程量计算表6"/>
      <sheetName val="工程量计算表7"/>
      <sheetName val="单位库"/>
      <sheetName val="门窗表"/>
      <sheetName val="计算式明细"/>
      <sheetName val="基础"/>
      <sheetName val="基础项目"/>
      <sheetName val="过渡数据表"/>
      <sheetName val="01封面"/>
      <sheetName val="02汇总表"/>
      <sheetName val="03工程量清单（门窗）"/>
      <sheetName val="04F栋门窗单价分析表"/>
      <sheetName val="门窗材料分析表"/>
      <sheetName val="05工程量清单（格栅）"/>
      <sheetName val="06钢结构、雨棚、栏杆报价分析"/>
      <sheetName val="07百页单价分析"/>
      <sheetName val="08F栋格栅单价分析表"/>
      <sheetName val="09遮阳板单价分析"/>
      <sheetName val="10主要材料表"/>
      <sheetName val="11"/>
      <sheetName val="价格对比（合价）"/>
      <sheetName val="西区A标(1~3标）"/>
      <sheetName val="西区B标(4~5标）"/>
      <sheetName val="东区C标(6~7标，东区会所）"/>
      <sheetName val="东区D标(8~9标）"/>
      <sheetName val="地梁"/>
      <sheetName val="21"/>
      <sheetName val="面积计算"/>
      <sheetName val="T1~7基础梁 "/>
      <sheetName val="承台及地坪下柱"/>
      <sheetName val="带基"/>
      <sheetName val="圈过梁"/>
      <sheetName val="构造柱"/>
      <sheetName val="柱计算 (通用)"/>
      <sheetName val="脚手架通用"/>
      <sheetName val="砖墙"/>
      <sheetName val="厨厕通用"/>
      <sheetName val="砼墙"/>
      <sheetName val="平板"/>
      <sheetName val="屋面板"/>
      <sheetName val="地坪"/>
      <sheetName val="楼梯栏杆"/>
      <sheetName val="楼梯通用"/>
      <sheetName val="台阶"/>
      <sheetName val="装饰"/>
      <sheetName val="计算表"/>
      <sheetName val="梁"/>
      <sheetName val="工程量汇总"/>
      <sheetName val="甲供料表"/>
      <sheetName val="人工挖孔桩"/>
      <sheetName val="承台(砖模) "/>
      <sheetName val="承台(木模)"/>
      <sheetName val="基础梁"/>
      <sheetName val="柱"/>
      <sheetName val="计算试"/>
      <sheetName val="F8~9承台"/>
      <sheetName val="RecoveredExternalLink29"/>
      <sheetName val="下拉菜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外墙 "/>
      <sheetName val="屋面"/>
      <sheetName val="天花"/>
      <sheetName val="地面"/>
      <sheetName val="墙面"/>
      <sheetName val="厕所"/>
      <sheetName val="零星"/>
      <sheetName val="砌砖外墙3米"/>
      <sheetName val="砌砖内墙3米"/>
      <sheetName val="厕所外墙"/>
      <sheetName val="厨、厕内墙3米"/>
      <sheetName val="砌砖外墙5米"/>
      <sheetName val="砌砖内墙5米"/>
      <sheetName val="厨、厕内墙5米"/>
      <sheetName val="问题"/>
      <sheetName val="屋项铝单板"/>
      <sheetName val="地梁"/>
      <sheetName val="门窗表"/>
      <sheetName val="#REF!"/>
      <sheetName val="单位"/>
      <sheetName val="材料单价"/>
      <sheetName val="总栋号统计"/>
      <sheetName val="清单名称"/>
      <sheetName val="骨浆计算式(备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总栋号统计"/>
      <sheetName val="清单名称"/>
      <sheetName val="汇总"/>
      <sheetName val="标段汇总"/>
      <sheetName val="2标段"/>
      <sheetName val="3标段"/>
      <sheetName val="4标段"/>
      <sheetName val="5标段"/>
      <sheetName val="6标段"/>
      <sheetName val="7标段"/>
      <sheetName val="电梯大堂"/>
      <sheetName val="钢板桩"/>
      <sheetName val="其他"/>
      <sheetName val="罚款"/>
      <sheetName val="设置"/>
      <sheetName val="门窗表"/>
      <sheetName val="五楼"/>
      <sheetName val="#REF!"/>
      <sheetName val="骨浆计算式(备)"/>
      <sheetName val="工程量计算表"/>
      <sheetName val="价格表 "/>
      <sheetName val="1#配电房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#REF!"/>
      <sheetName val="地梁"/>
      <sheetName val="过渡数据表"/>
      <sheetName val="骨浆计算式(备)"/>
      <sheetName val="楼梯钢筋"/>
      <sheetName val="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engthcalc16"/>
      <sheetName val="sum(Flooring )"/>
      <sheetName val="A计算"/>
      <sheetName val="#REF!"/>
      <sheetName val="门窗表"/>
      <sheetName val="厨厕通用"/>
      <sheetName val="地坪"/>
      <sheetName val="墙面工程"/>
      <sheetName val="过渡数据表"/>
      <sheetName val="骨浆计算式(备)"/>
      <sheetName val="基础项目"/>
      <sheetName val="地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给排水管道"/>
      <sheetName val="给排水管道汇总"/>
      <sheetName val="给排水附件"/>
      <sheetName val="给排水设备"/>
      <sheetName val="电气（高压）"/>
      <sheetName val="高压设备"/>
      <sheetName val="高压附件"/>
      <sheetName val="#REF!"/>
      <sheetName val="汇总表"/>
      <sheetName val="钢架dun"/>
      <sheetName val="给排水工程量计算书"/>
      <sheetName val="工程量计算"/>
      <sheetName val="sheet2"/>
      <sheetName val="零星"/>
      <sheetName val="Sheet1"/>
      <sheetName val="总栋号统计"/>
      <sheetName val="184栋外墙涂料"/>
      <sheetName val="骨浆计算式(备)"/>
      <sheetName val="门窗表"/>
      <sheetName val="工程量表"/>
      <sheetName val="钢木分析表"/>
      <sheetName val="结构"/>
      <sheetName val="饰面"/>
      <sheetName val="B1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2"/>
  <sheetViews>
    <sheetView tabSelected="1" view="pageBreakPreview" zoomScale="55" zoomScaleNormal="40" topLeftCell="A20" workbookViewId="0">
      <selection activeCell="G20" sqref="G20"/>
    </sheetView>
  </sheetViews>
  <sheetFormatPr defaultColWidth="10" defaultRowHeight="17.4"/>
  <cols>
    <col min="1" max="1" width="11.0925925925926" style="30" customWidth="1"/>
    <col min="2" max="2" width="20.8148148148148" style="30" customWidth="1"/>
    <col min="3" max="3" width="21.9074074074074" style="30" customWidth="1"/>
    <col min="4" max="4" width="55" style="31" customWidth="1"/>
    <col min="5" max="5" width="30.4537037037037" style="32" customWidth="1"/>
    <col min="6" max="6" width="20.8148148148148" style="32" customWidth="1"/>
    <col min="7" max="7" width="165.546296296296" style="33" customWidth="1"/>
    <col min="8" max="8" width="34.4537037037037" style="34" customWidth="1"/>
    <col min="9" max="9" width="39.5462962962963" style="33" customWidth="1"/>
    <col min="10" max="10" width="20" style="35"/>
    <col min="11" max="16384" width="10" style="35"/>
  </cols>
  <sheetData>
    <row r="1" s="29" customFormat="1" ht="80" customHeight="1" spans="1:10">
      <c r="A1" s="36" t="s">
        <v>0</v>
      </c>
      <c r="B1" s="36"/>
      <c r="C1" s="36"/>
      <c r="D1" s="37"/>
      <c r="E1" s="36"/>
      <c r="F1" s="36"/>
      <c r="G1" s="36"/>
      <c r="H1" s="38"/>
      <c r="I1" s="36"/>
    </row>
    <row r="2" s="29" customFormat="1" ht="80" customHeight="1" spans="1:10">
      <c r="A2" s="39" t="s">
        <v>1</v>
      </c>
      <c r="B2" s="40"/>
      <c r="C2" s="40"/>
      <c r="D2" s="40"/>
      <c r="E2" s="40"/>
      <c r="F2" s="40"/>
      <c r="G2" s="40"/>
      <c r="H2" s="40"/>
      <c r="I2" s="40"/>
    </row>
    <row r="3" s="29" customFormat="1" ht="80" customHeight="1" spans="1:10">
      <c r="A3" s="40"/>
      <c r="B3" s="40"/>
      <c r="C3" s="40"/>
      <c r="D3" s="40"/>
      <c r="E3" s="40"/>
      <c r="F3" s="40"/>
      <c r="G3" s="40"/>
      <c r="H3" s="40"/>
      <c r="I3" s="40"/>
    </row>
    <row r="4" s="29" customFormat="1" ht="80" customHeight="1" spans="1:10">
      <c r="A4" s="40"/>
      <c r="B4" s="40"/>
      <c r="C4" s="40"/>
      <c r="D4" s="40"/>
      <c r="E4" s="40"/>
      <c r="F4" s="40"/>
      <c r="G4" s="40"/>
      <c r="H4" s="40"/>
      <c r="I4" s="40"/>
    </row>
    <row r="5" ht="80" customHeight="1" spans="1:10">
      <c r="A5" s="41" t="s">
        <v>2</v>
      </c>
      <c r="B5" s="42" t="s">
        <v>3</v>
      </c>
      <c r="C5" s="42" t="s">
        <v>4</v>
      </c>
      <c r="D5" s="42" t="s">
        <v>5</v>
      </c>
      <c r="E5" s="41" t="s">
        <v>6</v>
      </c>
      <c r="F5" s="41" t="s">
        <v>7</v>
      </c>
      <c r="G5" s="42" t="s">
        <v>8</v>
      </c>
      <c r="H5" s="43" t="s">
        <v>9</v>
      </c>
      <c r="I5" s="42" t="s">
        <v>10</v>
      </c>
    </row>
    <row r="6" ht="409" customHeight="1" spans="1:10">
      <c r="A6" s="44">
        <v>1</v>
      </c>
      <c r="B6" s="45" t="s">
        <v>11</v>
      </c>
      <c r="C6" s="44"/>
      <c r="D6" s="46"/>
      <c r="E6" s="45">
        <v>3088</v>
      </c>
      <c r="F6" s="47" t="s">
        <v>12</v>
      </c>
      <c r="G6" s="48" t="s">
        <v>13</v>
      </c>
      <c r="H6" s="49"/>
      <c r="I6" s="49"/>
    </row>
    <row r="7" ht="76" customHeight="1" spans="1:10">
      <c r="A7" s="44"/>
      <c r="B7" s="45"/>
      <c r="C7" s="44"/>
      <c r="D7" s="46"/>
      <c r="E7" s="45"/>
      <c r="F7" s="47"/>
      <c r="G7" s="48"/>
      <c r="H7" s="49"/>
      <c r="I7" s="49"/>
    </row>
    <row r="8" ht="82" customHeight="1" spans="1:10">
      <c r="A8" s="44"/>
      <c r="B8" s="45"/>
      <c r="C8" s="44"/>
      <c r="D8" s="46"/>
      <c r="E8" s="45"/>
      <c r="F8" s="47"/>
      <c r="G8" s="48"/>
      <c r="H8" s="49"/>
      <c r="I8" s="49"/>
    </row>
    <row r="9" ht="409" customHeight="1" spans="1:10">
      <c r="A9" s="44">
        <v>2</v>
      </c>
      <c r="B9" s="45" t="s">
        <v>14</v>
      </c>
      <c r="C9" s="44"/>
      <c r="D9" s="46"/>
      <c r="E9" s="50">
        <v>2510.68</v>
      </c>
      <c r="F9" s="47" t="s">
        <v>12</v>
      </c>
      <c r="G9" s="48" t="s">
        <v>15</v>
      </c>
      <c r="H9" s="49"/>
      <c r="I9" s="49"/>
      <c r="J9" s="51"/>
    </row>
    <row r="10" ht="409" customHeight="1" spans="1:10">
      <c r="A10" s="44"/>
      <c r="B10" s="45"/>
      <c r="C10" s="44"/>
      <c r="D10" s="46"/>
      <c r="E10" s="50"/>
      <c r="F10" s="47"/>
      <c r="G10" s="48"/>
      <c r="H10" s="49"/>
      <c r="I10" s="49"/>
    </row>
    <row r="11" ht="385" customHeight="1" spans="1:10">
      <c r="A11" s="44"/>
      <c r="B11" s="45"/>
      <c r="C11" s="44"/>
      <c r="D11" s="46"/>
      <c r="E11" s="50"/>
      <c r="F11" s="47"/>
      <c r="G11" s="48"/>
      <c r="H11" s="49"/>
      <c r="I11" s="49"/>
    </row>
    <row r="12" ht="408" customHeight="1" spans="1:10">
      <c r="A12" s="52">
        <v>3</v>
      </c>
      <c r="B12" s="53" t="s">
        <v>16</v>
      </c>
      <c r="C12" s="52"/>
      <c r="D12" s="54"/>
      <c r="E12" s="55">
        <f>采购部分纱帘!J4+采购部分纱帘!J3</f>
        <v>63.2</v>
      </c>
      <c r="F12" s="56" t="s">
        <v>12</v>
      </c>
      <c r="G12" s="57" t="s">
        <v>17</v>
      </c>
      <c r="H12" s="58"/>
      <c r="I12" s="58"/>
    </row>
    <row r="13" ht="408" customHeight="1" spans="1:10">
      <c r="A13" s="59"/>
      <c r="B13" s="60"/>
      <c r="C13" s="59"/>
      <c r="D13" s="61"/>
      <c r="E13" s="62"/>
      <c r="F13" s="63"/>
      <c r="G13" s="64"/>
      <c r="H13" s="65"/>
      <c r="I13" s="65"/>
    </row>
    <row r="14" ht="36" customHeight="1" spans="1:10">
      <c r="A14" s="66"/>
      <c r="B14" s="67"/>
      <c r="C14" s="66"/>
      <c r="D14" s="68"/>
      <c r="E14" s="69"/>
      <c r="F14" s="70"/>
      <c r="G14" s="71"/>
      <c r="H14" s="72"/>
      <c r="I14" s="72"/>
    </row>
    <row r="15" ht="409" customHeight="1" spans="1:10">
      <c r="A15" s="52">
        <v>4</v>
      </c>
      <c r="B15" s="53" t="s">
        <v>18</v>
      </c>
      <c r="C15" s="52"/>
      <c r="D15" s="54"/>
      <c r="E15" s="73">
        <f>采购部分遮光卷帘!I429</f>
        <v>12941.0008</v>
      </c>
      <c r="F15" s="56" t="s">
        <v>19</v>
      </c>
      <c r="G15" s="74" t="s">
        <v>20</v>
      </c>
      <c r="H15" s="58"/>
      <c r="I15" s="58"/>
      <c r="J15" s="51"/>
    </row>
    <row r="16" ht="409" customHeight="1" spans="1:10">
      <c r="A16" s="66"/>
      <c r="B16" s="67"/>
      <c r="C16" s="66"/>
      <c r="D16" s="68"/>
      <c r="E16" s="75"/>
      <c r="F16" s="70"/>
      <c r="G16" s="76"/>
      <c r="H16" s="72"/>
      <c r="I16" s="72"/>
      <c r="J16" s="51"/>
    </row>
    <row r="17" ht="265" customHeight="1" spans="1:10">
      <c r="A17" s="66">
        <v>5</v>
      </c>
      <c r="B17" s="67" t="s">
        <v>21</v>
      </c>
      <c r="C17" s="66"/>
      <c r="D17" s="68"/>
      <c r="E17" s="75">
        <f>采购部分百叶帘!I64</f>
        <v>666.5</v>
      </c>
      <c r="F17" s="70" t="s">
        <v>19</v>
      </c>
      <c r="G17" s="77" t="s">
        <v>22</v>
      </c>
      <c r="H17" s="72"/>
      <c r="I17" s="72"/>
      <c r="J17" s="51"/>
    </row>
    <row r="18" ht="347" customHeight="1" spans="1:10">
      <c r="A18" s="44">
        <v>6</v>
      </c>
      <c r="B18" s="45" t="s">
        <v>23</v>
      </c>
      <c r="C18" s="44"/>
      <c r="D18" s="46"/>
      <c r="E18" s="78">
        <f>采购部分拉帘!M58+采购部分纱帘!M5</f>
        <v>1189.39</v>
      </c>
      <c r="F18" s="47" t="s">
        <v>12</v>
      </c>
      <c r="G18" s="79" t="s">
        <v>24</v>
      </c>
      <c r="H18" s="49"/>
      <c r="I18" s="49"/>
      <c r="J18" s="80"/>
    </row>
    <row r="19" ht="347" customHeight="1" spans="1:10">
      <c r="A19" s="81">
        <v>6</v>
      </c>
      <c r="B19" s="82" t="s">
        <v>25</v>
      </c>
      <c r="C19" s="81"/>
      <c r="D19" s="83"/>
      <c r="E19" s="84">
        <v>28</v>
      </c>
      <c r="F19" s="85" t="s">
        <v>12</v>
      </c>
      <c r="G19" s="79" t="s">
        <v>26</v>
      </c>
      <c r="H19" s="49"/>
      <c r="I19" s="49"/>
      <c r="J19" s="80"/>
    </row>
    <row r="20" ht="347" customHeight="1" spans="1:10">
      <c r="A20" s="81">
        <v>7</v>
      </c>
      <c r="B20" s="82" t="s">
        <v>27</v>
      </c>
      <c r="C20" s="81"/>
      <c r="D20" s="83"/>
      <c r="E20" s="84">
        <v>4</v>
      </c>
      <c r="F20" s="85" t="s">
        <v>28</v>
      </c>
      <c r="G20" s="79" t="s">
        <v>29</v>
      </c>
      <c r="H20" s="49"/>
      <c r="I20" s="49"/>
      <c r="J20" s="80"/>
    </row>
    <row r="21" ht="347" customHeight="1" spans="1:10">
      <c r="A21" s="44">
        <v>8</v>
      </c>
      <c r="B21" s="45" t="s">
        <v>30</v>
      </c>
      <c r="C21" s="44"/>
      <c r="D21" s="46"/>
      <c r="E21" s="78">
        <v>18</v>
      </c>
      <c r="F21" s="47" t="s">
        <v>31</v>
      </c>
      <c r="G21" s="79" t="s">
        <v>32</v>
      </c>
      <c r="H21" s="49"/>
      <c r="I21" s="49"/>
      <c r="J21" s="80"/>
    </row>
    <row r="22" ht="71" customHeight="1" spans="1:10">
      <c r="A22" s="86" t="s">
        <v>33</v>
      </c>
      <c r="B22" s="87"/>
      <c r="C22" s="87"/>
      <c r="D22" s="88"/>
      <c r="E22" s="89">
        <f>SUM(E6:E21)</f>
        <v>20508.7708</v>
      </c>
      <c r="F22" s="90"/>
      <c r="G22" s="90"/>
      <c r="H22" s="49"/>
      <c r="I22" s="91"/>
    </row>
  </sheetData>
  <mergeCells count="37">
    <mergeCell ref="A1:I1"/>
    <mergeCell ref="A22:D22"/>
    <mergeCell ref="A6:A8"/>
    <mergeCell ref="A9:A11"/>
    <mergeCell ref="A12:A14"/>
    <mergeCell ref="A15:A16"/>
    <mergeCell ref="B6:B8"/>
    <mergeCell ref="B9:B11"/>
    <mergeCell ref="B12:B14"/>
    <mergeCell ref="B15:B16"/>
    <mergeCell ref="C6:C8"/>
    <mergeCell ref="C9:C11"/>
    <mergeCell ref="C12:C14"/>
    <mergeCell ref="C15:C16"/>
    <mergeCell ref="D12:D14"/>
    <mergeCell ref="D15:D16"/>
    <mergeCell ref="E6:E8"/>
    <mergeCell ref="E9:E11"/>
    <mergeCell ref="E12:E14"/>
    <mergeCell ref="E15:E16"/>
    <mergeCell ref="F6:F8"/>
    <mergeCell ref="F9:F11"/>
    <mergeCell ref="F12:F14"/>
    <mergeCell ref="F15:F16"/>
    <mergeCell ref="G6:G8"/>
    <mergeCell ref="G9:G11"/>
    <mergeCell ref="G12:G14"/>
    <mergeCell ref="G15:G16"/>
    <mergeCell ref="H6:H8"/>
    <mergeCell ref="H9:H11"/>
    <mergeCell ref="H12:H14"/>
    <mergeCell ref="H15:H16"/>
    <mergeCell ref="I6:I8"/>
    <mergeCell ref="I9:I11"/>
    <mergeCell ref="I12:I14"/>
    <mergeCell ref="I15:I16"/>
    <mergeCell ref="A2:I4"/>
  </mergeCells>
  <printOptions horizontalCentered="1"/>
  <pageMargins left="0.393055555555556" right="0.393055555555556" top="0.786805555555556" bottom="0.786805555555556" header="0.393055555555556" footer="0.550694444444444"/>
  <pageSetup paperSize="9" scale="24" fitToHeight="0" orientation="portrait"/>
  <headerFooter alignWithMargins="0"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2"/>
  <sheetViews>
    <sheetView view="pageBreakPreview" zoomScale="40" zoomScaleNormal="25" workbookViewId="0">
      <selection activeCell="A1" sqref="A1:K1"/>
    </sheetView>
  </sheetViews>
  <sheetFormatPr defaultColWidth="9" defaultRowHeight="37.2"/>
  <cols>
    <col min="1" max="3" width="25.8148148148148" style="1" customWidth="1"/>
    <col min="4" max="4" width="29.9074074074074" style="1" customWidth="1"/>
    <col min="5" max="5" width="54.3611111111111" style="1" customWidth="1"/>
    <col min="6" max="6" width="48.0925925925926" style="1" customWidth="1"/>
    <col min="7" max="7" width="24.4537037037037" style="1" customWidth="1"/>
    <col min="8" max="8" width="23.9074074074074" style="1" customWidth="1"/>
    <col min="9" max="11" width="35.8148148148148" style="1" customWidth="1"/>
    <col min="12" max="12" width="15.6296296296296" style="1"/>
    <col min="13" max="16384" width="9" style="1"/>
  </cols>
  <sheetData>
    <row r="1" ht="80" customHeight="1" spans="1:11">
      <c r="A1" s="17" t="s">
        <v>34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="16" customFormat="1" ht="80" customHeight="1" spans="1:11">
      <c r="A2" s="18" t="s">
        <v>2</v>
      </c>
      <c r="B2" s="19" t="s">
        <v>35</v>
      </c>
      <c r="C2" s="19" t="s">
        <v>36</v>
      </c>
      <c r="D2" s="19" t="s">
        <v>3</v>
      </c>
      <c r="E2" s="19" t="s">
        <v>4</v>
      </c>
      <c r="F2" s="19" t="s">
        <v>37</v>
      </c>
      <c r="G2" s="18" t="s">
        <v>6</v>
      </c>
      <c r="H2" s="18" t="s">
        <v>7</v>
      </c>
      <c r="I2" s="20" t="s">
        <v>38</v>
      </c>
      <c r="J2" s="20" t="s">
        <v>39</v>
      </c>
      <c r="K2" s="20" t="s">
        <v>40</v>
      </c>
    </row>
    <row r="3" ht="200.15" customHeight="1" spans="1:11">
      <c r="A3" s="21">
        <v>1</v>
      </c>
      <c r="B3" s="21" t="s">
        <v>41</v>
      </c>
      <c r="C3" s="21" t="s">
        <v>42</v>
      </c>
      <c r="D3" s="21" t="s">
        <v>43</v>
      </c>
      <c r="E3" s="21"/>
      <c r="F3" s="21" t="s">
        <v>44</v>
      </c>
      <c r="G3" s="21">
        <v>7</v>
      </c>
      <c r="H3" s="21" t="s">
        <v>45</v>
      </c>
      <c r="I3" s="22"/>
      <c r="J3" s="22">
        <f t="shared" ref="J3:J8" si="0">(3+0.2)*2*G3</f>
        <v>44.8</v>
      </c>
      <c r="K3" s="22"/>
    </row>
    <row r="4" ht="200.15" customHeight="1" spans="1:11">
      <c r="A4" s="21">
        <v>2</v>
      </c>
      <c r="B4" s="21" t="s">
        <v>41</v>
      </c>
      <c r="C4" s="21" t="s">
        <v>46</v>
      </c>
      <c r="D4" s="21" t="s">
        <v>43</v>
      </c>
      <c r="E4" s="21"/>
      <c r="F4" s="21" t="s">
        <v>44</v>
      </c>
      <c r="G4" s="21">
        <v>4</v>
      </c>
      <c r="H4" s="21" t="s">
        <v>45</v>
      </c>
      <c r="I4" s="22"/>
      <c r="J4" s="22">
        <f t="shared" si="0"/>
        <v>25.6</v>
      </c>
      <c r="K4" s="22"/>
    </row>
    <row r="5" ht="200.15" customHeight="1" spans="1:11">
      <c r="A5" s="21">
        <v>3</v>
      </c>
      <c r="B5" s="21" t="s">
        <v>41</v>
      </c>
      <c r="C5" s="21" t="s">
        <v>47</v>
      </c>
      <c r="D5" s="21" t="s">
        <v>43</v>
      </c>
      <c r="E5" s="21"/>
      <c r="F5" s="21" t="s">
        <v>48</v>
      </c>
      <c r="G5" s="21">
        <v>5</v>
      </c>
      <c r="H5" s="21" t="s">
        <v>45</v>
      </c>
      <c r="I5" s="22"/>
      <c r="J5" s="22">
        <f t="shared" si="0"/>
        <v>32</v>
      </c>
      <c r="K5" s="22"/>
    </row>
    <row r="6" ht="200.15" customHeight="1" spans="1:11">
      <c r="A6" s="21">
        <v>4</v>
      </c>
      <c r="B6" s="21" t="s">
        <v>49</v>
      </c>
      <c r="C6" s="21" t="s">
        <v>50</v>
      </c>
      <c r="D6" s="21" t="s">
        <v>51</v>
      </c>
      <c r="E6" s="21"/>
      <c r="F6" s="21" t="s">
        <v>44</v>
      </c>
      <c r="G6" s="21">
        <v>4</v>
      </c>
      <c r="H6" s="21" t="s">
        <v>45</v>
      </c>
      <c r="I6" s="22"/>
      <c r="J6" s="22">
        <f t="shared" si="0"/>
        <v>25.6</v>
      </c>
      <c r="K6" s="22"/>
    </row>
    <row r="7" ht="200.15" customHeight="1" spans="1:11">
      <c r="A7" s="23">
        <v>5</v>
      </c>
      <c r="B7" s="24" t="s">
        <v>49</v>
      </c>
      <c r="C7" s="24" t="s">
        <v>52</v>
      </c>
      <c r="D7" s="24" t="s">
        <v>51</v>
      </c>
      <c r="E7" s="21"/>
      <c r="F7" s="21" t="s">
        <v>44</v>
      </c>
      <c r="G7" s="21">
        <v>1</v>
      </c>
      <c r="H7" s="21" t="s">
        <v>45</v>
      </c>
      <c r="I7" s="22"/>
      <c r="J7" s="22">
        <f t="shared" si="0"/>
        <v>6.4</v>
      </c>
      <c r="K7" s="25"/>
    </row>
    <row r="8" ht="200.15" customHeight="1" spans="1:11">
      <c r="A8" s="23">
        <v>6</v>
      </c>
      <c r="B8" s="24" t="s">
        <v>49</v>
      </c>
      <c r="C8" s="24" t="s">
        <v>53</v>
      </c>
      <c r="D8" s="24" t="s">
        <v>51</v>
      </c>
      <c r="E8" s="21"/>
      <c r="F8" s="21" t="s">
        <v>44</v>
      </c>
      <c r="G8" s="21">
        <v>3</v>
      </c>
      <c r="H8" s="21" t="s">
        <v>45</v>
      </c>
      <c r="I8" s="22"/>
      <c r="J8" s="22">
        <f t="shared" si="0"/>
        <v>19.2</v>
      </c>
      <c r="K8" s="25"/>
    </row>
    <row r="9" ht="200.15" customHeight="1" spans="1:11">
      <c r="A9" s="23">
        <v>7</v>
      </c>
      <c r="B9" s="24" t="s">
        <v>49</v>
      </c>
      <c r="C9" s="24" t="s">
        <v>54</v>
      </c>
      <c r="D9" s="24" t="s">
        <v>51</v>
      </c>
      <c r="E9" s="21"/>
      <c r="F9" s="21" t="s">
        <v>48</v>
      </c>
      <c r="G9" s="21">
        <v>1</v>
      </c>
      <c r="H9" s="21" t="s">
        <v>45</v>
      </c>
      <c r="I9" s="22"/>
      <c r="J9" s="22">
        <f>(4.9+0.2)*2*G9</f>
        <v>10.2</v>
      </c>
      <c r="K9" s="25"/>
    </row>
    <row r="10" ht="200.15" customHeight="1" spans="1:11">
      <c r="A10" s="23">
        <v>8</v>
      </c>
      <c r="B10" s="21" t="s">
        <v>49</v>
      </c>
      <c r="C10" s="21" t="s">
        <v>55</v>
      </c>
      <c r="D10" s="24" t="s">
        <v>51</v>
      </c>
      <c r="E10" s="21"/>
      <c r="F10" s="21" t="s">
        <v>48</v>
      </c>
      <c r="G10" s="21">
        <v>2</v>
      </c>
      <c r="H10" s="21" t="s">
        <v>45</v>
      </c>
      <c r="I10" s="22"/>
      <c r="J10" s="22">
        <f>(4.9+0.2)*2*G10</f>
        <v>20.4</v>
      </c>
      <c r="K10" s="25"/>
    </row>
    <row r="11" ht="200.15" customHeight="1" spans="1:11">
      <c r="A11" s="21">
        <v>9</v>
      </c>
      <c r="B11" s="24" t="s">
        <v>56</v>
      </c>
      <c r="C11" s="24" t="s">
        <v>57</v>
      </c>
      <c r="D11" s="24" t="s">
        <v>58</v>
      </c>
      <c r="E11" s="21"/>
      <c r="F11" s="21" t="s">
        <v>48</v>
      </c>
      <c r="G11" s="21">
        <v>8</v>
      </c>
      <c r="H11" s="21" t="s">
        <v>45</v>
      </c>
      <c r="I11" s="22"/>
      <c r="J11" s="22">
        <f>(4.9+0.2)*2*G11</f>
        <v>81.6</v>
      </c>
      <c r="K11" s="25"/>
    </row>
    <row r="12" ht="200.15" customHeight="1" spans="1:11">
      <c r="A12" s="21">
        <v>10</v>
      </c>
      <c r="B12" s="21" t="s">
        <v>56</v>
      </c>
      <c r="C12" s="21" t="s">
        <v>59</v>
      </c>
      <c r="D12" s="24" t="s">
        <v>58</v>
      </c>
      <c r="E12" s="21"/>
      <c r="F12" s="21" t="s">
        <v>44</v>
      </c>
      <c r="G12" s="21">
        <v>2</v>
      </c>
      <c r="H12" s="21" t="s">
        <v>45</v>
      </c>
      <c r="I12" s="22"/>
      <c r="J12" s="22">
        <f>(3+0.2)*2*G12</f>
        <v>12.8</v>
      </c>
      <c r="K12" s="25"/>
    </row>
    <row r="13" ht="200.15" customHeight="1" spans="1:11">
      <c r="A13" s="21">
        <v>11</v>
      </c>
      <c r="B13" s="21" t="s">
        <v>56</v>
      </c>
      <c r="C13" s="21" t="s">
        <v>60</v>
      </c>
      <c r="D13" s="24" t="s">
        <v>58</v>
      </c>
      <c r="E13" s="21"/>
      <c r="F13" s="21" t="s">
        <v>48</v>
      </c>
      <c r="G13" s="21">
        <v>30</v>
      </c>
      <c r="H13" s="21" t="s">
        <v>45</v>
      </c>
      <c r="I13" s="22"/>
      <c r="J13" s="22">
        <f>(4.9+0.2)*2*G13</f>
        <v>306</v>
      </c>
      <c r="K13" s="25"/>
    </row>
    <row r="14" ht="200.15" customHeight="1" spans="1:11">
      <c r="A14" s="21">
        <v>12</v>
      </c>
      <c r="B14" s="24" t="s">
        <v>61</v>
      </c>
      <c r="C14" s="24" t="s">
        <v>62</v>
      </c>
      <c r="D14" s="24" t="s">
        <v>58</v>
      </c>
      <c r="E14" s="21"/>
      <c r="F14" s="21" t="s">
        <v>44</v>
      </c>
      <c r="G14" s="21">
        <v>1</v>
      </c>
      <c r="H14" s="21" t="s">
        <v>45</v>
      </c>
      <c r="I14" s="22"/>
      <c r="J14" s="22">
        <f>(3+0.2)*2*G14</f>
        <v>6.4</v>
      </c>
      <c r="K14" s="25"/>
    </row>
    <row r="15" ht="200.15" customHeight="1" spans="1:11">
      <c r="A15" s="21">
        <v>13</v>
      </c>
      <c r="B15" s="24" t="s">
        <v>61</v>
      </c>
      <c r="C15" s="24" t="s">
        <v>63</v>
      </c>
      <c r="D15" s="24" t="s">
        <v>58</v>
      </c>
      <c r="E15" s="21"/>
      <c r="F15" s="21" t="s">
        <v>44</v>
      </c>
      <c r="G15" s="21">
        <v>2</v>
      </c>
      <c r="H15" s="21" t="s">
        <v>45</v>
      </c>
      <c r="I15" s="22"/>
      <c r="J15" s="22">
        <f>(3+0.2)*2*G15</f>
        <v>12.8</v>
      </c>
      <c r="K15" s="25"/>
    </row>
    <row r="16" ht="200.15" customHeight="1" spans="1:11">
      <c r="A16" s="21">
        <v>14</v>
      </c>
      <c r="B16" s="21" t="s">
        <v>61</v>
      </c>
      <c r="C16" s="21" t="s">
        <v>59</v>
      </c>
      <c r="D16" s="24" t="s">
        <v>58</v>
      </c>
      <c r="E16" s="21"/>
      <c r="F16" s="21" t="s">
        <v>44</v>
      </c>
      <c r="G16" s="21">
        <v>4</v>
      </c>
      <c r="H16" s="21" t="s">
        <v>45</v>
      </c>
      <c r="I16" s="22"/>
      <c r="J16" s="22">
        <f>(3+0.2)*2*G16</f>
        <v>25.6</v>
      </c>
      <c r="K16" s="25"/>
    </row>
    <row r="17" ht="200.15" customHeight="1" spans="1:11">
      <c r="A17" s="21">
        <v>15</v>
      </c>
      <c r="B17" s="24" t="s">
        <v>61</v>
      </c>
      <c r="C17" s="24" t="s">
        <v>60</v>
      </c>
      <c r="D17" s="24" t="s">
        <v>58</v>
      </c>
      <c r="E17" s="21"/>
      <c r="F17" s="21" t="s">
        <v>48</v>
      </c>
      <c r="G17" s="21">
        <v>33</v>
      </c>
      <c r="H17" s="21" t="s">
        <v>45</v>
      </c>
      <c r="I17" s="22"/>
      <c r="J17" s="22">
        <f>(4.9+0.2)*2*G17</f>
        <v>336.6</v>
      </c>
      <c r="K17" s="25"/>
    </row>
    <row r="18" ht="200.15" customHeight="1" spans="1:11">
      <c r="A18" s="21">
        <v>16</v>
      </c>
      <c r="B18" s="24" t="s">
        <v>61</v>
      </c>
      <c r="C18" s="24" t="s">
        <v>57</v>
      </c>
      <c r="D18" s="24" t="s">
        <v>58</v>
      </c>
      <c r="E18" s="21"/>
      <c r="F18" s="21" t="s">
        <v>48</v>
      </c>
      <c r="G18" s="21">
        <v>4</v>
      </c>
      <c r="H18" s="21" t="s">
        <v>45</v>
      </c>
      <c r="I18" s="22"/>
      <c r="J18" s="22">
        <f>(4.9+0.2)*2*G18</f>
        <v>40.8</v>
      </c>
      <c r="K18" s="25"/>
    </row>
    <row r="19" ht="200.15" customHeight="1" spans="1:11">
      <c r="A19" s="21">
        <v>17</v>
      </c>
      <c r="B19" s="21" t="s">
        <v>64</v>
      </c>
      <c r="C19" s="21" t="s">
        <v>59</v>
      </c>
      <c r="D19" s="24" t="s">
        <v>58</v>
      </c>
      <c r="E19" s="21"/>
      <c r="F19" s="21" t="s">
        <v>44</v>
      </c>
      <c r="G19" s="21">
        <v>4</v>
      </c>
      <c r="H19" s="21" t="s">
        <v>45</v>
      </c>
      <c r="I19" s="22"/>
      <c r="J19" s="22">
        <f>(3+0.2)*2*G19</f>
        <v>25.6</v>
      </c>
      <c r="K19" s="25"/>
    </row>
    <row r="20" ht="200.15" customHeight="1" spans="1:11">
      <c r="A20" s="21">
        <v>18</v>
      </c>
      <c r="B20" s="24" t="s">
        <v>64</v>
      </c>
      <c r="C20" s="24" t="s">
        <v>60</v>
      </c>
      <c r="D20" s="24" t="s">
        <v>58</v>
      </c>
      <c r="E20" s="21"/>
      <c r="F20" s="21" t="s">
        <v>48</v>
      </c>
      <c r="G20" s="21">
        <v>48</v>
      </c>
      <c r="H20" s="21" t="s">
        <v>45</v>
      </c>
      <c r="I20" s="22"/>
      <c r="J20" s="22">
        <f>(4.9+0.2)*2*G20</f>
        <v>489.6</v>
      </c>
      <c r="K20" s="25"/>
    </row>
    <row r="21" ht="200.15" customHeight="1" spans="1:11">
      <c r="A21" s="21">
        <v>19</v>
      </c>
      <c r="B21" s="24" t="s">
        <v>64</v>
      </c>
      <c r="C21" s="24" t="s">
        <v>57</v>
      </c>
      <c r="D21" s="24" t="s">
        <v>58</v>
      </c>
      <c r="E21" s="21"/>
      <c r="F21" s="21" t="s">
        <v>48</v>
      </c>
      <c r="G21" s="21">
        <v>4</v>
      </c>
      <c r="H21" s="21" t="s">
        <v>45</v>
      </c>
      <c r="I21" s="22"/>
      <c r="J21" s="22">
        <f>(4.9+0.2)*2*G21</f>
        <v>40.8</v>
      </c>
      <c r="K21" s="25"/>
    </row>
    <row r="22" ht="200.15" customHeight="1" spans="1:11">
      <c r="A22" s="21">
        <v>20</v>
      </c>
      <c r="B22" s="24" t="s">
        <v>64</v>
      </c>
      <c r="C22" s="24" t="s">
        <v>55</v>
      </c>
      <c r="D22" s="24" t="s">
        <v>58</v>
      </c>
      <c r="E22" s="21"/>
      <c r="F22" s="21" t="s">
        <v>44</v>
      </c>
      <c r="G22" s="21">
        <v>2</v>
      </c>
      <c r="H22" s="21" t="s">
        <v>45</v>
      </c>
      <c r="I22" s="22"/>
      <c r="J22" s="22">
        <f>(3+0.2)*2*G22</f>
        <v>12.8</v>
      </c>
      <c r="K22" s="25"/>
    </row>
    <row r="23" ht="200.15" customHeight="1" spans="1:11">
      <c r="A23" s="21">
        <v>21</v>
      </c>
      <c r="B23" s="24" t="s">
        <v>65</v>
      </c>
      <c r="C23" s="24" t="s">
        <v>60</v>
      </c>
      <c r="D23" s="24" t="s">
        <v>58</v>
      </c>
      <c r="E23" s="21"/>
      <c r="F23" s="21" t="s">
        <v>48</v>
      </c>
      <c r="G23" s="21">
        <v>27</v>
      </c>
      <c r="H23" s="21" t="s">
        <v>45</v>
      </c>
      <c r="I23" s="22"/>
      <c r="J23" s="22">
        <f>(4.9+0.2)*2*G23</f>
        <v>275.4</v>
      </c>
      <c r="K23" s="25"/>
    </row>
    <row r="24" ht="200.15" customHeight="1" spans="1:11">
      <c r="A24" s="21">
        <v>22</v>
      </c>
      <c r="B24" s="24" t="s">
        <v>65</v>
      </c>
      <c r="C24" s="24" t="s">
        <v>57</v>
      </c>
      <c r="D24" s="24" t="s">
        <v>58</v>
      </c>
      <c r="E24" s="21"/>
      <c r="F24" s="21" t="s">
        <v>48</v>
      </c>
      <c r="G24" s="21">
        <v>4</v>
      </c>
      <c r="H24" s="21" t="s">
        <v>45</v>
      </c>
      <c r="I24" s="22"/>
      <c r="J24" s="22">
        <f>(4.9+0.2)*2*G24</f>
        <v>40.8</v>
      </c>
      <c r="K24" s="25"/>
    </row>
    <row r="25" ht="200.15" customHeight="1" spans="1:11">
      <c r="A25" s="21">
        <v>23</v>
      </c>
      <c r="B25" s="21" t="s">
        <v>65</v>
      </c>
      <c r="C25" s="21" t="s">
        <v>66</v>
      </c>
      <c r="D25" s="24" t="s">
        <v>58</v>
      </c>
      <c r="E25" s="21"/>
      <c r="F25" s="21" t="s">
        <v>48</v>
      </c>
      <c r="G25" s="21">
        <v>4</v>
      </c>
      <c r="H25" s="21" t="s">
        <v>45</v>
      </c>
      <c r="I25" s="22"/>
      <c r="J25" s="22">
        <f>(4.9+0.2)*2*G25</f>
        <v>40.8</v>
      </c>
      <c r="K25" s="25"/>
    </row>
    <row r="26" ht="200.15" customHeight="1" spans="1:11">
      <c r="A26" s="21">
        <v>24</v>
      </c>
      <c r="B26" s="21" t="s">
        <v>65</v>
      </c>
      <c r="C26" s="21" t="s">
        <v>67</v>
      </c>
      <c r="D26" s="24" t="s">
        <v>58</v>
      </c>
      <c r="E26" s="21"/>
      <c r="F26" s="21" t="s">
        <v>48</v>
      </c>
      <c r="G26" s="21">
        <v>3</v>
      </c>
      <c r="H26" s="21" t="s">
        <v>45</v>
      </c>
      <c r="I26" s="22"/>
      <c r="J26" s="22">
        <f>(4.9+0.2)*2*G26</f>
        <v>30.6</v>
      </c>
      <c r="K26" s="25"/>
    </row>
    <row r="27" ht="200.15" customHeight="1" spans="1:11">
      <c r="A27" s="21">
        <v>25</v>
      </c>
      <c r="B27" s="21" t="s">
        <v>68</v>
      </c>
      <c r="C27" s="21" t="s">
        <v>59</v>
      </c>
      <c r="D27" s="24" t="s">
        <v>58</v>
      </c>
      <c r="E27" s="21"/>
      <c r="F27" s="21" t="s">
        <v>44</v>
      </c>
      <c r="G27" s="21">
        <v>4</v>
      </c>
      <c r="H27" s="21" t="s">
        <v>45</v>
      </c>
      <c r="I27" s="22"/>
      <c r="J27" s="22">
        <f>(3+0.2)*2*G27</f>
        <v>25.6</v>
      </c>
      <c r="K27" s="25"/>
    </row>
    <row r="28" ht="200.15" customHeight="1" spans="1:11">
      <c r="A28" s="21">
        <v>26</v>
      </c>
      <c r="B28" s="24" t="s">
        <v>68</v>
      </c>
      <c r="C28" s="24" t="s">
        <v>60</v>
      </c>
      <c r="D28" s="24" t="s">
        <v>58</v>
      </c>
      <c r="E28" s="21"/>
      <c r="F28" s="21" t="s">
        <v>48</v>
      </c>
      <c r="G28" s="21">
        <v>48</v>
      </c>
      <c r="H28" s="21" t="s">
        <v>45</v>
      </c>
      <c r="I28" s="22"/>
      <c r="J28" s="22">
        <f>(4.9+0.2)*2*G28</f>
        <v>489.6</v>
      </c>
      <c r="K28" s="25"/>
    </row>
    <row r="29" ht="200.15" customHeight="1" spans="1:11">
      <c r="A29" s="21">
        <v>27</v>
      </c>
      <c r="B29" s="24" t="s">
        <v>68</v>
      </c>
      <c r="C29" s="24" t="s">
        <v>57</v>
      </c>
      <c r="D29" s="24" t="s">
        <v>58</v>
      </c>
      <c r="E29" s="21"/>
      <c r="F29" s="21" t="s">
        <v>48</v>
      </c>
      <c r="G29" s="21">
        <v>4</v>
      </c>
      <c r="H29" s="21" t="s">
        <v>45</v>
      </c>
      <c r="I29" s="22"/>
      <c r="J29" s="22">
        <f>(4.9+0.2)*2*G29</f>
        <v>40.8</v>
      </c>
      <c r="K29" s="25"/>
    </row>
    <row r="30" ht="213" customHeight="1" spans="1:11">
      <c r="A30" s="21">
        <v>28</v>
      </c>
      <c r="B30" s="24" t="s">
        <v>68</v>
      </c>
      <c r="C30" s="24" t="s">
        <v>69</v>
      </c>
      <c r="D30" s="24" t="s">
        <v>58</v>
      </c>
      <c r="E30" s="21"/>
      <c r="F30" s="21" t="s">
        <v>44</v>
      </c>
      <c r="G30" s="21">
        <v>1</v>
      </c>
      <c r="H30" s="21" t="s">
        <v>45</v>
      </c>
      <c r="I30" s="22"/>
      <c r="J30" s="22">
        <f>(3+0.2)*2*G30</f>
        <v>6.4</v>
      </c>
      <c r="K30" s="25"/>
    </row>
    <row r="31" ht="200.15" customHeight="1" spans="1:11">
      <c r="A31" s="21">
        <v>29</v>
      </c>
      <c r="B31" s="21" t="s">
        <v>70</v>
      </c>
      <c r="C31" s="21" t="s">
        <v>59</v>
      </c>
      <c r="D31" s="24" t="s">
        <v>58</v>
      </c>
      <c r="E31" s="21"/>
      <c r="F31" s="21" t="s">
        <v>44</v>
      </c>
      <c r="G31" s="21">
        <v>4</v>
      </c>
      <c r="H31" s="21" t="s">
        <v>45</v>
      </c>
      <c r="I31" s="22"/>
      <c r="J31" s="22">
        <f>(3+0.2)*2*G31</f>
        <v>25.6</v>
      </c>
      <c r="K31" s="25"/>
    </row>
    <row r="32" ht="200.15" customHeight="1" spans="1:11">
      <c r="A32" s="21">
        <v>30</v>
      </c>
      <c r="B32" s="24" t="s">
        <v>70</v>
      </c>
      <c r="C32" s="24" t="s">
        <v>60</v>
      </c>
      <c r="D32" s="24" t="s">
        <v>58</v>
      </c>
      <c r="E32" s="21"/>
      <c r="F32" s="21" t="s">
        <v>48</v>
      </c>
      <c r="G32" s="21">
        <v>48</v>
      </c>
      <c r="H32" s="21" t="s">
        <v>45</v>
      </c>
      <c r="I32" s="22"/>
      <c r="J32" s="22">
        <f>(4.9+0.2)*2*G32</f>
        <v>489.6</v>
      </c>
      <c r="K32" s="25"/>
    </row>
    <row r="33" ht="200.15" customHeight="1" spans="1:11">
      <c r="A33" s="21">
        <v>31</v>
      </c>
      <c r="B33" s="24" t="s">
        <v>70</v>
      </c>
      <c r="C33" s="24" t="s">
        <v>57</v>
      </c>
      <c r="D33" s="24" t="s">
        <v>58</v>
      </c>
      <c r="E33" s="21"/>
      <c r="F33" s="21" t="s">
        <v>48</v>
      </c>
      <c r="G33" s="21">
        <v>4</v>
      </c>
      <c r="H33" s="21" t="s">
        <v>45</v>
      </c>
      <c r="I33" s="22"/>
      <c r="J33" s="22">
        <f>(4.9+0.2)*2*G33</f>
        <v>40.8</v>
      </c>
      <c r="K33" s="25"/>
    </row>
    <row r="34" ht="200.15" customHeight="1" spans="1:11">
      <c r="A34" s="21">
        <v>32</v>
      </c>
      <c r="B34" s="24" t="s">
        <v>70</v>
      </c>
      <c r="C34" s="24" t="s">
        <v>69</v>
      </c>
      <c r="D34" s="24" t="s">
        <v>58</v>
      </c>
      <c r="E34" s="21"/>
      <c r="F34" s="21" t="s">
        <v>44</v>
      </c>
      <c r="G34" s="21">
        <v>1</v>
      </c>
      <c r="H34" s="21" t="s">
        <v>45</v>
      </c>
      <c r="I34" s="22"/>
      <c r="J34" s="22">
        <f>(3+0.2)*2*G34</f>
        <v>6.4</v>
      </c>
      <c r="K34" s="25"/>
    </row>
    <row r="35" ht="81" customHeight="1" spans="1:11">
      <c r="A35" s="26" t="s">
        <v>33</v>
      </c>
      <c r="B35" s="27"/>
      <c r="C35" s="27"/>
      <c r="D35" s="27"/>
      <c r="E35" s="27"/>
      <c r="F35" s="28"/>
      <c r="G35" s="21">
        <f>SUM(G3:G34)</f>
        <v>321</v>
      </c>
      <c r="H35" s="21"/>
      <c r="I35" s="22"/>
      <c r="J35" s="22">
        <f>SUM(J3:J34)</f>
        <v>3088</v>
      </c>
      <c r="K35" s="22"/>
    </row>
    <row r="36" ht="50.15" customHeight="1"/>
    <row r="37" ht="41.15" customHeight="1"/>
    <row r="38" ht="41.15" customHeight="1"/>
    <row r="39" ht="41.15" customHeight="1"/>
    <row r="40" ht="41.15" customHeight="1"/>
    <row r="41" ht="41.15" customHeight="1"/>
    <row r="42" ht="41.15" customHeight="1"/>
  </sheetData>
  <mergeCells count="2">
    <mergeCell ref="A1:K1"/>
    <mergeCell ref="A35:F35"/>
  </mergeCells>
  <printOptions horizontalCentered="1"/>
  <pageMargins left="0.393055555555556" right="0.393055555555556" top="0.393055555555556" bottom="0.393055555555556" header="0.393055555555556" footer="0.393055555555556"/>
  <pageSetup paperSize="9" scale="26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9"/>
  <sheetViews>
    <sheetView view="pageBreakPreview" zoomScale="25" zoomScaleNormal="25" workbookViewId="0">
      <selection activeCell="I5" sqref="I5"/>
    </sheetView>
  </sheetViews>
  <sheetFormatPr defaultColWidth="9" defaultRowHeight="37.2"/>
  <cols>
    <col min="1" max="2" width="25.8148148148148" style="1" customWidth="1"/>
    <col min="3" max="3" width="30.1759259259259" style="1" customWidth="1"/>
    <col min="4" max="4" width="42.8148148148148" style="1" customWidth="1"/>
    <col min="5" max="5" width="54.3611111111111" style="1" customWidth="1"/>
    <col min="6" max="6" width="42.9074074074074" style="1" customWidth="1"/>
    <col min="7" max="7" width="21.8148148148148" style="1" customWidth="1"/>
    <col min="8" max="8" width="24" style="1" customWidth="1"/>
    <col min="9" max="9" width="40" style="1" customWidth="1"/>
    <col min="10" max="10" width="35.8148148148148" style="1" customWidth="1"/>
    <col min="11" max="11" width="42.1759259259259" style="1" customWidth="1"/>
    <col min="12" max="12" width="40.9074074074074" style="1" customWidth="1"/>
    <col min="13" max="13" width="35.8148148148148" style="1" customWidth="1"/>
    <col min="14" max="14" width="40.9074074074074" style="1" customWidth="1"/>
    <col min="15" max="16384" width="9" style="1"/>
  </cols>
  <sheetData>
    <row r="1" ht="80" customHeight="1" spans="1:14">
      <c r="A1" s="4" t="s">
        <v>34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ht="80" customHeight="1" spans="1:14">
      <c r="A2" s="5" t="s">
        <v>2</v>
      </c>
      <c r="B2" s="6" t="s">
        <v>35</v>
      </c>
      <c r="C2" s="6" t="s">
        <v>36</v>
      </c>
      <c r="D2" s="6" t="s">
        <v>3</v>
      </c>
      <c r="E2" s="6" t="s">
        <v>4</v>
      </c>
      <c r="F2" s="6" t="s">
        <v>37</v>
      </c>
      <c r="G2" s="5" t="s">
        <v>6</v>
      </c>
      <c r="H2" s="5" t="s">
        <v>7</v>
      </c>
      <c r="I2" s="6" t="s">
        <v>71</v>
      </c>
      <c r="J2" s="6" t="s">
        <v>72</v>
      </c>
      <c r="K2" s="6" t="s">
        <v>73</v>
      </c>
      <c r="L2" s="6" t="s">
        <v>74</v>
      </c>
      <c r="M2" s="6" t="s">
        <v>75</v>
      </c>
      <c r="N2" s="6" t="s">
        <v>76</v>
      </c>
    </row>
    <row r="3" ht="200.15" customHeight="1" spans="1:14">
      <c r="A3" s="7">
        <v>1</v>
      </c>
      <c r="B3" s="7" t="s">
        <v>77</v>
      </c>
      <c r="C3" s="7" t="s">
        <v>78</v>
      </c>
      <c r="D3" s="7" t="s">
        <v>79</v>
      </c>
      <c r="E3" s="7"/>
      <c r="F3" s="7" t="s">
        <v>80</v>
      </c>
      <c r="G3" s="7">
        <v>1</v>
      </c>
      <c r="H3" s="7" t="s">
        <v>45</v>
      </c>
      <c r="I3" s="9"/>
      <c r="J3" s="9">
        <f>(1.05+0.2)*2*G3</f>
        <v>2.5</v>
      </c>
      <c r="K3" s="9"/>
      <c r="L3" s="9"/>
      <c r="M3" s="9">
        <f t="shared" ref="M3:M5" si="0">1.05+0.2</f>
        <v>1.25</v>
      </c>
      <c r="N3" s="9"/>
    </row>
    <row r="4" ht="200.15" customHeight="1" spans="1:14">
      <c r="A4" s="7">
        <v>2</v>
      </c>
      <c r="B4" s="7" t="s">
        <v>41</v>
      </c>
      <c r="C4" s="7" t="s">
        <v>81</v>
      </c>
      <c r="D4" s="7" t="s">
        <v>79</v>
      </c>
      <c r="E4" s="7"/>
      <c r="F4" s="7" t="s">
        <v>80</v>
      </c>
      <c r="G4" s="7">
        <v>1</v>
      </c>
      <c r="H4" s="7" t="s">
        <v>45</v>
      </c>
      <c r="I4" s="9"/>
      <c r="J4" s="9">
        <f>(1.05+0.2)*2*G4</f>
        <v>2.5</v>
      </c>
      <c r="K4" s="9"/>
      <c r="L4" s="9"/>
      <c r="M4" s="9">
        <f t="shared" si="0"/>
        <v>1.25</v>
      </c>
      <c r="N4" s="9"/>
    </row>
    <row r="5" ht="200.15" customHeight="1" spans="1:14">
      <c r="A5" s="7">
        <v>3</v>
      </c>
      <c r="B5" s="7" t="s">
        <v>41</v>
      </c>
      <c r="C5" s="7" t="s">
        <v>82</v>
      </c>
      <c r="D5" s="7" t="s">
        <v>79</v>
      </c>
      <c r="E5" s="7"/>
      <c r="F5" s="7" t="s">
        <v>80</v>
      </c>
      <c r="G5" s="7">
        <v>1</v>
      </c>
      <c r="H5" s="7" t="s">
        <v>45</v>
      </c>
      <c r="I5" s="9"/>
      <c r="J5" s="9">
        <f>(1.05+0.2)*2</f>
        <v>2.5</v>
      </c>
      <c r="K5" s="9"/>
      <c r="L5" s="9"/>
      <c r="M5" s="9">
        <f t="shared" si="0"/>
        <v>1.25</v>
      </c>
      <c r="N5" s="9"/>
    </row>
    <row r="6" ht="200.15" customHeight="1" spans="1:14">
      <c r="A6" s="7">
        <v>4</v>
      </c>
      <c r="B6" s="7" t="s">
        <v>83</v>
      </c>
      <c r="C6" s="7" t="s">
        <v>84</v>
      </c>
      <c r="D6" s="7" t="s">
        <v>85</v>
      </c>
      <c r="E6" s="7"/>
      <c r="F6" s="7" t="s">
        <v>86</v>
      </c>
      <c r="G6" s="7">
        <v>1</v>
      </c>
      <c r="H6" s="7" t="s">
        <v>45</v>
      </c>
      <c r="I6" s="9"/>
      <c r="J6" s="9">
        <f>(74.7+2)*2*2*G6</f>
        <v>306.8</v>
      </c>
      <c r="K6" s="9"/>
      <c r="L6" s="9"/>
      <c r="M6" s="9">
        <f>(74.7+2)*2*G6</f>
        <v>153.4</v>
      </c>
      <c r="N6" s="9"/>
    </row>
    <row r="7" ht="200.15" customHeight="1" spans="1:14">
      <c r="A7" s="7">
        <v>5</v>
      </c>
      <c r="B7" s="7" t="s">
        <v>83</v>
      </c>
      <c r="C7" s="7" t="s">
        <v>87</v>
      </c>
      <c r="D7" s="7" t="s">
        <v>85</v>
      </c>
      <c r="E7" s="7"/>
      <c r="F7" s="7" t="s">
        <v>88</v>
      </c>
      <c r="G7" s="7">
        <v>1</v>
      </c>
      <c r="H7" s="7" t="s">
        <v>45</v>
      </c>
      <c r="I7" s="9"/>
      <c r="J7" s="9">
        <f>(28.5+2)*2*2*G7</f>
        <v>122</v>
      </c>
      <c r="K7" s="9"/>
      <c r="L7" s="9"/>
      <c r="M7" s="9">
        <f>(28.5+2)*2*G7</f>
        <v>61</v>
      </c>
      <c r="N7" s="9"/>
    </row>
    <row r="8" ht="200.15" customHeight="1" spans="1:14">
      <c r="A8" s="7">
        <v>6</v>
      </c>
      <c r="B8" s="7" t="s">
        <v>83</v>
      </c>
      <c r="C8" s="7" t="s">
        <v>89</v>
      </c>
      <c r="D8" s="7" t="s">
        <v>79</v>
      </c>
      <c r="E8" s="7"/>
      <c r="F8" s="7" t="s">
        <v>90</v>
      </c>
      <c r="G8" s="7">
        <v>1</v>
      </c>
      <c r="H8" s="7" t="s">
        <v>45</v>
      </c>
      <c r="I8" s="9"/>
      <c r="J8" s="9">
        <f>(3.1+0.2)*2*G8</f>
        <v>6.6</v>
      </c>
      <c r="K8" s="9"/>
      <c r="L8" s="9"/>
      <c r="M8" s="9">
        <f>(3.1+0.2)*G8</f>
        <v>3.3</v>
      </c>
      <c r="N8" s="9"/>
    </row>
    <row r="9" ht="200.15" customHeight="1" spans="1:14">
      <c r="A9" s="7">
        <v>7</v>
      </c>
      <c r="B9" s="12" t="s">
        <v>83</v>
      </c>
      <c r="C9" s="12" t="s">
        <v>82</v>
      </c>
      <c r="D9" s="7" t="s">
        <v>79</v>
      </c>
      <c r="E9" s="7"/>
      <c r="F9" s="7" t="s">
        <v>91</v>
      </c>
      <c r="G9" s="7">
        <v>1</v>
      </c>
      <c r="H9" s="7" t="s">
        <v>45</v>
      </c>
      <c r="I9" s="9"/>
      <c r="J9" s="9">
        <f>(1.4+0.2)*2*G9</f>
        <v>3.2</v>
      </c>
      <c r="K9" s="9"/>
      <c r="L9" s="9"/>
      <c r="M9" s="9">
        <f>(1.4+0.2)*G9</f>
        <v>1.6</v>
      </c>
      <c r="N9" s="9"/>
    </row>
    <row r="10" ht="200.15" customHeight="1" spans="1:14">
      <c r="A10" s="7">
        <v>8</v>
      </c>
      <c r="B10" s="12" t="s">
        <v>83</v>
      </c>
      <c r="C10" s="12" t="s">
        <v>81</v>
      </c>
      <c r="D10" s="7" t="s">
        <v>79</v>
      </c>
      <c r="E10" s="7"/>
      <c r="F10" s="7" t="s">
        <v>91</v>
      </c>
      <c r="G10" s="7">
        <v>1</v>
      </c>
      <c r="H10" s="7" t="s">
        <v>45</v>
      </c>
      <c r="I10" s="9"/>
      <c r="J10" s="9">
        <f>(1.05+0.2)*2*G10</f>
        <v>2.5</v>
      </c>
      <c r="K10" s="9"/>
      <c r="L10" s="9"/>
      <c r="M10" s="9">
        <f>(1.4+0.2)*G10</f>
        <v>1.6</v>
      </c>
      <c r="N10" s="9"/>
    </row>
    <row r="11" ht="200.15" customHeight="1" spans="1:14">
      <c r="A11" s="7">
        <v>10</v>
      </c>
      <c r="B11" s="7" t="s">
        <v>92</v>
      </c>
      <c r="C11" s="7" t="s">
        <v>84</v>
      </c>
      <c r="D11" s="7" t="s">
        <v>85</v>
      </c>
      <c r="E11" s="7"/>
      <c r="F11" s="7" t="s">
        <v>86</v>
      </c>
      <c r="G11" s="7">
        <v>1</v>
      </c>
      <c r="H11" s="7" t="s">
        <v>45</v>
      </c>
      <c r="I11" s="9"/>
      <c r="J11" s="9">
        <f>(74.7+2)*2*2*G11</f>
        <v>306.8</v>
      </c>
      <c r="K11" s="9"/>
      <c r="L11" s="9"/>
      <c r="M11" s="9">
        <f>(74.7+2)*2*G11</f>
        <v>153.4</v>
      </c>
      <c r="N11" s="9"/>
    </row>
    <row r="12" ht="200.15" customHeight="1" spans="1:14">
      <c r="A12" s="7">
        <v>11</v>
      </c>
      <c r="B12" s="7" t="s">
        <v>92</v>
      </c>
      <c r="C12" s="7" t="s">
        <v>87</v>
      </c>
      <c r="D12" s="7" t="s">
        <v>85</v>
      </c>
      <c r="E12" s="7"/>
      <c r="F12" s="7" t="s">
        <v>93</v>
      </c>
      <c r="G12" s="7">
        <v>1</v>
      </c>
      <c r="H12" s="7" t="s">
        <v>45</v>
      </c>
      <c r="I12" s="9"/>
      <c r="J12" s="9">
        <f>(24.9+2)*2*2*G12</f>
        <v>107.6</v>
      </c>
      <c r="K12" s="9"/>
      <c r="L12" s="9"/>
      <c r="M12" s="9">
        <f>(24.9+2)*2*G12</f>
        <v>53.8</v>
      </c>
      <c r="N12" s="9"/>
    </row>
    <row r="13" ht="200.15" customHeight="1" spans="1:14">
      <c r="A13" s="7">
        <v>12</v>
      </c>
      <c r="B13" s="7" t="s">
        <v>92</v>
      </c>
      <c r="C13" s="7" t="s">
        <v>89</v>
      </c>
      <c r="D13" s="7" t="s">
        <v>79</v>
      </c>
      <c r="E13" s="7"/>
      <c r="F13" s="7" t="s">
        <v>90</v>
      </c>
      <c r="G13" s="7">
        <v>1</v>
      </c>
      <c r="H13" s="7" t="s">
        <v>45</v>
      </c>
      <c r="I13" s="9"/>
      <c r="J13" s="9">
        <f>(3.1+0.2)*2*G13</f>
        <v>6.6</v>
      </c>
      <c r="K13" s="9"/>
      <c r="L13" s="9"/>
      <c r="M13" s="9">
        <f>(3.1+0.2)*G13</f>
        <v>3.3</v>
      </c>
      <c r="N13" s="9"/>
    </row>
    <row r="14" ht="200.15" customHeight="1" spans="1:14">
      <c r="A14" s="7">
        <v>13</v>
      </c>
      <c r="B14" s="12" t="s">
        <v>92</v>
      </c>
      <c r="C14" s="12" t="s">
        <v>82</v>
      </c>
      <c r="D14" s="7" t="s">
        <v>79</v>
      </c>
      <c r="E14" s="7"/>
      <c r="F14" s="7" t="s">
        <v>91</v>
      </c>
      <c r="G14" s="7">
        <v>1</v>
      </c>
      <c r="H14" s="7" t="s">
        <v>45</v>
      </c>
      <c r="I14" s="9"/>
      <c r="J14" s="9">
        <f>(1.4+0.2)*2*G14</f>
        <v>3.2</v>
      </c>
      <c r="K14" s="9"/>
      <c r="L14" s="9"/>
      <c r="M14" s="9">
        <f>(1.4+0.2)*G14</f>
        <v>1.6</v>
      </c>
      <c r="N14" s="9"/>
    </row>
    <row r="15" ht="200.15" customHeight="1" spans="1:14">
      <c r="A15" s="7">
        <v>14</v>
      </c>
      <c r="B15" s="12" t="s">
        <v>92</v>
      </c>
      <c r="C15" s="12" t="s">
        <v>81</v>
      </c>
      <c r="D15" s="7" t="s">
        <v>79</v>
      </c>
      <c r="E15" s="7"/>
      <c r="F15" s="7" t="s">
        <v>91</v>
      </c>
      <c r="G15" s="7">
        <v>1</v>
      </c>
      <c r="H15" s="7" t="s">
        <v>45</v>
      </c>
      <c r="I15" s="9"/>
      <c r="J15" s="9">
        <f>(1.4+0.2)*2*G15</f>
        <v>3.2</v>
      </c>
      <c r="K15" s="9"/>
      <c r="L15" s="9"/>
      <c r="M15" s="9">
        <f>(1.4+0.2)*G15</f>
        <v>1.6</v>
      </c>
      <c r="N15" s="9"/>
    </row>
    <row r="16" ht="200.15" customHeight="1" spans="1:14">
      <c r="A16" s="7">
        <v>16</v>
      </c>
      <c r="B16" s="12" t="s">
        <v>56</v>
      </c>
      <c r="C16" s="12" t="s">
        <v>57</v>
      </c>
      <c r="D16" s="7" t="s">
        <v>94</v>
      </c>
      <c r="E16" s="7"/>
      <c r="F16" s="7" t="s">
        <v>95</v>
      </c>
      <c r="G16" s="7">
        <v>4</v>
      </c>
      <c r="H16" s="7" t="s">
        <v>45</v>
      </c>
      <c r="I16" s="9"/>
      <c r="J16" s="9">
        <f>(3.2+0.2)*2*2*G16</f>
        <v>54.4</v>
      </c>
      <c r="K16" s="9"/>
      <c r="L16" s="9"/>
      <c r="M16" s="9">
        <f>(3.2+0.2)*2*G16</f>
        <v>27.2</v>
      </c>
      <c r="N16" s="9"/>
    </row>
    <row r="17" ht="200.15" customHeight="1" spans="1:14">
      <c r="A17" s="7">
        <v>17</v>
      </c>
      <c r="B17" s="7" t="s">
        <v>56</v>
      </c>
      <c r="C17" s="7" t="s">
        <v>96</v>
      </c>
      <c r="D17" s="7" t="s">
        <v>79</v>
      </c>
      <c r="E17" s="7"/>
      <c r="F17" s="7" t="s">
        <v>97</v>
      </c>
      <c r="G17" s="7">
        <v>2</v>
      </c>
      <c r="H17" s="7" t="s">
        <v>45</v>
      </c>
      <c r="I17" s="9"/>
      <c r="J17" s="9">
        <f>(1.1+0.2+0.86+0.2)*2*2*G17</f>
        <v>18.88</v>
      </c>
      <c r="K17" s="9"/>
      <c r="L17" s="9"/>
      <c r="M17" s="9">
        <f>(1.1+0.2+0.86+0.2)*2*G17</f>
        <v>9.44</v>
      </c>
      <c r="N17" s="9"/>
    </row>
    <row r="18" ht="200.15" customHeight="1" spans="1:14">
      <c r="A18" s="7">
        <v>18</v>
      </c>
      <c r="B18" s="12" t="s">
        <v>56</v>
      </c>
      <c r="C18" s="12" t="s">
        <v>60</v>
      </c>
      <c r="D18" s="7" t="s">
        <v>94</v>
      </c>
      <c r="E18" s="7"/>
      <c r="F18" s="7" t="s">
        <v>95</v>
      </c>
      <c r="G18" s="7">
        <v>10</v>
      </c>
      <c r="H18" s="7" t="s">
        <v>45</v>
      </c>
      <c r="I18" s="9"/>
      <c r="J18" s="9">
        <f>(3.2+0.2)*2*2*G18</f>
        <v>136</v>
      </c>
      <c r="K18" s="9"/>
      <c r="L18" s="9"/>
      <c r="M18" s="9">
        <f>(3.2+0.2)*2*G18</f>
        <v>68</v>
      </c>
      <c r="N18" s="9"/>
    </row>
    <row r="19" ht="200.15" customHeight="1" spans="1:14">
      <c r="A19" s="7">
        <v>19</v>
      </c>
      <c r="B19" s="7" t="s">
        <v>56</v>
      </c>
      <c r="C19" s="7" t="s">
        <v>98</v>
      </c>
      <c r="D19" s="7" t="s">
        <v>79</v>
      </c>
      <c r="E19" s="7"/>
      <c r="F19" s="7" t="s">
        <v>99</v>
      </c>
      <c r="G19" s="7">
        <v>1</v>
      </c>
      <c r="H19" s="7" t="s">
        <v>45</v>
      </c>
      <c r="I19" s="9"/>
      <c r="J19" s="9">
        <f>(6.2+0.2)*2*2*G19</f>
        <v>25.6</v>
      </c>
      <c r="K19" s="9"/>
      <c r="L19" s="9"/>
      <c r="M19" s="9">
        <f>(6.2+0.2)*2*G19</f>
        <v>12.8</v>
      </c>
      <c r="N19" s="9"/>
    </row>
    <row r="20" ht="200.15" customHeight="1" spans="1:14">
      <c r="A20" s="7">
        <v>20</v>
      </c>
      <c r="B20" s="7" t="s">
        <v>56</v>
      </c>
      <c r="C20" s="7" t="s">
        <v>100</v>
      </c>
      <c r="D20" s="7" t="s">
        <v>79</v>
      </c>
      <c r="E20" s="7"/>
      <c r="F20" s="7" t="s">
        <v>101</v>
      </c>
      <c r="G20" s="7">
        <v>1</v>
      </c>
      <c r="H20" s="7" t="s">
        <v>45</v>
      </c>
      <c r="I20" s="9"/>
      <c r="J20" s="9">
        <f>(3.65+0.2)*2*2*G20</f>
        <v>15.4</v>
      </c>
      <c r="K20" s="9"/>
      <c r="L20" s="9"/>
      <c r="M20" s="9">
        <f>(3.65+0.2)*2*G20</f>
        <v>7.7</v>
      </c>
      <c r="N20" s="9"/>
    </row>
    <row r="21" ht="200.15" customHeight="1" spans="1:14">
      <c r="A21" s="7">
        <v>21</v>
      </c>
      <c r="B21" s="7" t="s">
        <v>56</v>
      </c>
      <c r="C21" s="7" t="s">
        <v>102</v>
      </c>
      <c r="D21" s="7" t="s">
        <v>79</v>
      </c>
      <c r="E21" s="7"/>
      <c r="F21" s="7" t="s">
        <v>103</v>
      </c>
      <c r="G21" s="7">
        <v>1</v>
      </c>
      <c r="H21" s="7" t="s">
        <v>45</v>
      </c>
      <c r="I21" s="9"/>
      <c r="J21" s="9">
        <f>(2.45+0.2)*2*2*G21</f>
        <v>10.6</v>
      </c>
      <c r="K21" s="9"/>
      <c r="L21" s="9"/>
      <c r="M21" s="9">
        <f>(2.45+0.2)*2*G21</f>
        <v>5.3</v>
      </c>
      <c r="N21" s="9"/>
    </row>
    <row r="22" ht="200.15" customHeight="1" spans="1:14">
      <c r="A22" s="7">
        <v>22</v>
      </c>
      <c r="B22" s="7" t="s">
        <v>56</v>
      </c>
      <c r="C22" s="7" t="s">
        <v>104</v>
      </c>
      <c r="D22" s="7" t="s">
        <v>79</v>
      </c>
      <c r="E22" s="7"/>
      <c r="F22" s="7" t="s">
        <v>105</v>
      </c>
      <c r="G22" s="7">
        <v>1</v>
      </c>
      <c r="H22" s="7" t="s">
        <v>45</v>
      </c>
      <c r="I22" s="9"/>
      <c r="J22" s="9">
        <f>(7.5+0.2)*2*2*G22</f>
        <v>30.8</v>
      </c>
      <c r="K22" s="9"/>
      <c r="L22" s="9"/>
      <c r="M22" s="9">
        <f>(7.5+0.2)*2*G22</f>
        <v>15.4</v>
      </c>
      <c r="N22" s="9"/>
    </row>
    <row r="23" ht="200.15" customHeight="1" spans="1:14">
      <c r="A23" s="7">
        <v>23</v>
      </c>
      <c r="B23" s="7" t="s">
        <v>61</v>
      </c>
      <c r="C23" s="7" t="s">
        <v>62</v>
      </c>
      <c r="D23" s="7" t="s">
        <v>85</v>
      </c>
      <c r="E23" s="7"/>
      <c r="F23" s="7" t="s">
        <v>95</v>
      </c>
      <c r="G23" s="7">
        <v>1</v>
      </c>
      <c r="H23" s="7" t="s">
        <v>45</v>
      </c>
      <c r="I23" s="9"/>
      <c r="J23" s="9">
        <f>(3.2+0.2)*2*2*G23</f>
        <v>13.6</v>
      </c>
      <c r="K23" s="9"/>
      <c r="L23" s="9"/>
      <c r="M23" s="9">
        <f>(3.2+0.2)*2*G23</f>
        <v>6.8</v>
      </c>
      <c r="N23" s="9"/>
    </row>
    <row r="24" ht="200.15" customHeight="1" spans="1:14">
      <c r="A24" s="7">
        <v>24</v>
      </c>
      <c r="B24" s="7" t="s">
        <v>61</v>
      </c>
      <c r="C24" s="7" t="s">
        <v>63</v>
      </c>
      <c r="D24" s="7" t="s">
        <v>85</v>
      </c>
      <c r="E24" s="7"/>
      <c r="F24" s="7" t="s">
        <v>95</v>
      </c>
      <c r="G24" s="7">
        <v>2</v>
      </c>
      <c r="H24" s="7" t="s">
        <v>45</v>
      </c>
      <c r="I24" s="9"/>
      <c r="J24" s="9">
        <f>(3.2+0.2)*2*2*G24</f>
        <v>27.2</v>
      </c>
      <c r="K24" s="9"/>
      <c r="L24" s="9"/>
      <c r="M24" s="9">
        <f>(3.2+0.2)*2*G24</f>
        <v>13.6</v>
      </c>
      <c r="N24" s="9"/>
    </row>
    <row r="25" ht="200.15" customHeight="1" spans="1:14">
      <c r="A25" s="7">
        <v>25</v>
      </c>
      <c r="B25" s="7" t="s">
        <v>61</v>
      </c>
      <c r="C25" s="7" t="s">
        <v>60</v>
      </c>
      <c r="D25" s="7" t="s">
        <v>94</v>
      </c>
      <c r="E25" s="7"/>
      <c r="F25" s="7" t="s">
        <v>95</v>
      </c>
      <c r="G25" s="7">
        <v>11</v>
      </c>
      <c r="H25" s="7" t="s">
        <v>45</v>
      </c>
      <c r="I25" s="9"/>
      <c r="J25" s="9">
        <f>(3.2+0.2)*2*2*G25</f>
        <v>149.6</v>
      </c>
      <c r="K25" s="9"/>
      <c r="L25" s="9"/>
      <c r="M25" s="9">
        <f>(3.2+0.2)*2*G25</f>
        <v>74.8</v>
      </c>
      <c r="N25" s="9"/>
    </row>
    <row r="26" ht="200.15" customHeight="1" spans="1:14">
      <c r="A26" s="7">
        <v>26</v>
      </c>
      <c r="B26" s="7" t="s">
        <v>61</v>
      </c>
      <c r="C26" s="7" t="s">
        <v>57</v>
      </c>
      <c r="D26" s="7" t="s">
        <v>94</v>
      </c>
      <c r="E26" s="7"/>
      <c r="F26" s="7" t="s">
        <v>106</v>
      </c>
      <c r="G26" s="7">
        <v>2</v>
      </c>
      <c r="H26" s="7" t="s">
        <v>45</v>
      </c>
      <c r="I26" s="9"/>
      <c r="J26" s="9">
        <f>(4.6+0.2+3.7+0.2)*2*2*G26</f>
        <v>69.6</v>
      </c>
      <c r="K26" s="9"/>
      <c r="L26" s="9"/>
      <c r="M26" s="9">
        <f>(4.6+0.2+3.7+0.2)*2*G26</f>
        <v>34.8</v>
      </c>
      <c r="N26" s="9"/>
    </row>
    <row r="27" ht="200.15" customHeight="1" spans="1:14">
      <c r="A27" s="7">
        <v>27</v>
      </c>
      <c r="B27" s="7" t="s">
        <v>61</v>
      </c>
      <c r="C27" s="7" t="s">
        <v>100</v>
      </c>
      <c r="D27" s="7" t="s">
        <v>79</v>
      </c>
      <c r="E27" s="7"/>
      <c r="F27" s="7" t="s">
        <v>107</v>
      </c>
      <c r="G27" s="7">
        <v>1</v>
      </c>
      <c r="H27" s="7" t="s">
        <v>45</v>
      </c>
      <c r="I27" s="9"/>
      <c r="J27" s="9">
        <f>(2.3+0.2)*2*2*G27</f>
        <v>10</v>
      </c>
      <c r="K27" s="9"/>
      <c r="L27" s="9"/>
      <c r="M27" s="9">
        <f>(2.3+0.2)*2*G27</f>
        <v>5</v>
      </c>
      <c r="N27" s="9"/>
    </row>
    <row r="28" ht="200.15" customHeight="1" spans="1:14">
      <c r="A28" s="7">
        <v>28</v>
      </c>
      <c r="B28" s="7" t="s">
        <v>61</v>
      </c>
      <c r="C28" s="7" t="s">
        <v>108</v>
      </c>
      <c r="D28" s="7" t="s">
        <v>79</v>
      </c>
      <c r="E28" s="7"/>
      <c r="F28" s="7" t="s">
        <v>107</v>
      </c>
      <c r="G28" s="7">
        <v>1</v>
      </c>
      <c r="H28" s="7" t="s">
        <v>45</v>
      </c>
      <c r="I28" s="9"/>
      <c r="J28" s="9">
        <f>(2.3+0.2)*2*2*G28</f>
        <v>10</v>
      </c>
      <c r="K28" s="9"/>
      <c r="L28" s="9"/>
      <c r="M28" s="9">
        <f>(2.3+0.2)*2*G28</f>
        <v>5</v>
      </c>
      <c r="N28" s="9"/>
    </row>
    <row r="29" ht="200.15" customHeight="1" spans="1:14">
      <c r="A29" s="7">
        <v>29</v>
      </c>
      <c r="B29" s="7" t="s">
        <v>61</v>
      </c>
      <c r="C29" s="7" t="s">
        <v>96</v>
      </c>
      <c r="D29" s="7" t="s">
        <v>79</v>
      </c>
      <c r="E29" s="7"/>
      <c r="F29" s="7" t="s">
        <v>109</v>
      </c>
      <c r="G29" s="7">
        <v>2</v>
      </c>
      <c r="H29" s="7" t="s">
        <v>45</v>
      </c>
      <c r="I29" s="9"/>
      <c r="J29" s="9">
        <f>(1.2+0.2+1.2+0.2)*2*2*G29</f>
        <v>22.4</v>
      </c>
      <c r="K29" s="9"/>
      <c r="L29" s="9"/>
      <c r="M29" s="9">
        <f>(1.2+0.2+1.2+0.2)*2*G29</f>
        <v>11.2</v>
      </c>
      <c r="N29" s="9"/>
    </row>
    <row r="30" ht="200.15" customHeight="1" spans="1:14">
      <c r="A30" s="7">
        <v>30</v>
      </c>
      <c r="B30" s="7" t="s">
        <v>61</v>
      </c>
      <c r="C30" s="7" t="s">
        <v>110</v>
      </c>
      <c r="D30" s="7" t="s">
        <v>79</v>
      </c>
      <c r="E30" s="7"/>
      <c r="F30" s="7" t="s">
        <v>111</v>
      </c>
      <c r="G30" s="7">
        <v>1</v>
      </c>
      <c r="H30" s="7" t="s">
        <v>45</v>
      </c>
      <c r="I30" s="9"/>
      <c r="J30" s="9">
        <f>(2.4+0.2)*2*2*G30</f>
        <v>10.4</v>
      </c>
      <c r="K30" s="9"/>
      <c r="L30" s="9"/>
      <c r="M30" s="9">
        <f>(2.4+0.2)*2*G30</f>
        <v>5.2</v>
      </c>
      <c r="N30" s="9"/>
    </row>
    <row r="31" ht="200.15" customHeight="1" spans="1:14">
      <c r="A31" s="7">
        <v>31</v>
      </c>
      <c r="B31" s="12" t="s">
        <v>65</v>
      </c>
      <c r="C31" s="12" t="s">
        <v>60</v>
      </c>
      <c r="D31" s="7" t="s">
        <v>94</v>
      </c>
      <c r="E31" s="7"/>
      <c r="F31" s="7" t="s">
        <v>95</v>
      </c>
      <c r="G31" s="7">
        <v>9</v>
      </c>
      <c r="H31" s="7" t="s">
        <v>45</v>
      </c>
      <c r="I31" s="9"/>
      <c r="J31" s="9">
        <f>(3.2+0.2)*2*2*G31</f>
        <v>122.4</v>
      </c>
      <c r="K31" s="9"/>
      <c r="L31" s="9"/>
      <c r="M31" s="9">
        <f>(3.2+0.2)*2*G31</f>
        <v>61.2</v>
      </c>
      <c r="N31" s="9"/>
    </row>
    <row r="32" ht="200.15" customHeight="1" spans="1:14">
      <c r="A32" s="7">
        <v>32</v>
      </c>
      <c r="B32" s="12" t="s">
        <v>65</v>
      </c>
      <c r="C32" s="12" t="s">
        <v>57</v>
      </c>
      <c r="D32" s="7" t="s">
        <v>94</v>
      </c>
      <c r="E32" s="7"/>
      <c r="F32" s="7" t="s">
        <v>106</v>
      </c>
      <c r="G32" s="7">
        <v>2</v>
      </c>
      <c r="H32" s="7" t="s">
        <v>45</v>
      </c>
      <c r="I32" s="9"/>
      <c r="J32" s="9">
        <f>(4.6+0.2+3.7+0.2)*2*2*G32</f>
        <v>69.6</v>
      </c>
      <c r="K32" s="9"/>
      <c r="L32" s="9"/>
      <c r="M32" s="9">
        <f>(4.6+0.2+3.7+0.2)*2*G32</f>
        <v>34.8</v>
      </c>
      <c r="N32" s="9"/>
    </row>
    <row r="33" ht="200.15" customHeight="1" spans="1:14">
      <c r="A33" s="7">
        <v>33</v>
      </c>
      <c r="B33" s="7" t="s">
        <v>65</v>
      </c>
      <c r="C33" s="7" t="s">
        <v>108</v>
      </c>
      <c r="D33" s="7" t="s">
        <v>79</v>
      </c>
      <c r="E33" s="7"/>
      <c r="F33" s="7" t="s">
        <v>112</v>
      </c>
      <c r="G33" s="7">
        <v>1</v>
      </c>
      <c r="H33" s="7" t="s">
        <v>45</v>
      </c>
      <c r="I33" s="9"/>
      <c r="J33" s="9">
        <f>(5.2+0.2)*2*2*G33</f>
        <v>21.6</v>
      </c>
      <c r="K33" s="9"/>
      <c r="L33" s="9"/>
      <c r="M33" s="9">
        <f>(5.2+0.2)*2*G33</f>
        <v>10.8</v>
      </c>
      <c r="N33" s="9"/>
    </row>
    <row r="34" ht="200.15" customHeight="1" spans="1:14">
      <c r="A34" s="7">
        <v>34</v>
      </c>
      <c r="B34" s="7" t="s">
        <v>65</v>
      </c>
      <c r="C34" s="7" t="s">
        <v>82</v>
      </c>
      <c r="D34" s="7" t="s">
        <v>79</v>
      </c>
      <c r="E34" s="7"/>
      <c r="F34" s="7" t="s">
        <v>113</v>
      </c>
      <c r="G34" s="7">
        <v>1</v>
      </c>
      <c r="H34" s="7" t="s">
        <v>45</v>
      </c>
      <c r="I34" s="9"/>
      <c r="J34" s="9">
        <f>(1.2+0.2)*2*G34</f>
        <v>2.8</v>
      </c>
      <c r="K34" s="9"/>
      <c r="L34" s="9"/>
      <c r="M34" s="9">
        <f>(1.2+0.2)*G34</f>
        <v>1.4</v>
      </c>
      <c r="N34" s="9"/>
    </row>
    <row r="35" ht="200.15" customHeight="1" spans="1:14">
      <c r="A35" s="7">
        <v>35</v>
      </c>
      <c r="B35" s="7" t="s">
        <v>65</v>
      </c>
      <c r="C35" s="7" t="s">
        <v>104</v>
      </c>
      <c r="D35" s="7" t="s">
        <v>79</v>
      </c>
      <c r="E35" s="7"/>
      <c r="F35" s="7" t="s">
        <v>114</v>
      </c>
      <c r="G35" s="7">
        <v>1</v>
      </c>
      <c r="H35" s="7" t="s">
        <v>45</v>
      </c>
      <c r="I35" s="9"/>
      <c r="J35" s="9">
        <f>(3+0.2)*2*2*G35</f>
        <v>12.8</v>
      </c>
      <c r="K35" s="9"/>
      <c r="L35" s="9"/>
      <c r="M35" s="9">
        <f>(3+0.2)*2*G35</f>
        <v>6.4</v>
      </c>
      <c r="N35" s="9"/>
    </row>
    <row r="36" ht="200.15" customHeight="1" spans="1:14">
      <c r="A36" s="7">
        <v>36</v>
      </c>
      <c r="B36" s="7" t="s">
        <v>65</v>
      </c>
      <c r="C36" s="7" t="s">
        <v>81</v>
      </c>
      <c r="D36" s="7" t="s">
        <v>79</v>
      </c>
      <c r="E36" s="7"/>
      <c r="F36" s="7" t="s">
        <v>115</v>
      </c>
      <c r="G36" s="7">
        <v>1</v>
      </c>
      <c r="H36" s="7" t="s">
        <v>45</v>
      </c>
      <c r="I36" s="9"/>
      <c r="J36" s="9">
        <f>(1.3+0.2)*2*G36</f>
        <v>3</v>
      </c>
      <c r="K36" s="9"/>
      <c r="L36" s="9"/>
      <c r="M36" s="9">
        <f>(1.3+0.2)*G36</f>
        <v>1.5</v>
      </c>
      <c r="N36" s="9"/>
    </row>
    <row r="37" ht="200.15" customHeight="1" spans="1:14">
      <c r="A37" s="7">
        <v>37</v>
      </c>
      <c r="B37" s="12" t="s">
        <v>68</v>
      </c>
      <c r="C37" s="12" t="s">
        <v>60</v>
      </c>
      <c r="D37" s="7" t="s">
        <v>94</v>
      </c>
      <c r="E37" s="7"/>
      <c r="F37" s="7" t="s">
        <v>95</v>
      </c>
      <c r="G37" s="7">
        <v>16</v>
      </c>
      <c r="H37" s="7" t="s">
        <v>45</v>
      </c>
      <c r="I37" s="9"/>
      <c r="J37" s="9">
        <f>(3+0.2)*2*2*G37</f>
        <v>204.8</v>
      </c>
      <c r="K37" s="9"/>
      <c r="L37" s="9"/>
      <c r="M37" s="9">
        <f>(3+0.2)*2*G37</f>
        <v>102.4</v>
      </c>
      <c r="N37" s="9"/>
    </row>
    <row r="38" ht="200.15" customHeight="1" spans="1:14">
      <c r="A38" s="7">
        <v>38</v>
      </c>
      <c r="B38" s="12" t="s">
        <v>68</v>
      </c>
      <c r="C38" s="12" t="s">
        <v>57</v>
      </c>
      <c r="D38" s="7" t="s">
        <v>94</v>
      </c>
      <c r="E38" s="7"/>
      <c r="F38" s="7" t="s">
        <v>106</v>
      </c>
      <c r="G38" s="7">
        <v>2</v>
      </c>
      <c r="H38" s="7" t="s">
        <v>45</v>
      </c>
      <c r="I38" s="9"/>
      <c r="J38" s="9">
        <f>(4.6+0.2+3.7+0.2)*2*G38</f>
        <v>34.8</v>
      </c>
      <c r="K38" s="9"/>
      <c r="L38" s="9"/>
      <c r="M38" s="9">
        <f>(4.6+0.2+3.7+0.2)*G38</f>
        <v>17.4</v>
      </c>
      <c r="N38" s="9"/>
    </row>
    <row r="39" ht="200.15" customHeight="1" spans="1:14">
      <c r="A39" s="7">
        <v>39</v>
      </c>
      <c r="B39" s="7" t="s">
        <v>68</v>
      </c>
      <c r="C39" s="7" t="s">
        <v>116</v>
      </c>
      <c r="D39" s="7" t="s">
        <v>79</v>
      </c>
      <c r="E39" s="7"/>
      <c r="F39" s="7" t="s">
        <v>107</v>
      </c>
      <c r="G39" s="7">
        <v>1</v>
      </c>
      <c r="H39" s="7" t="s">
        <v>45</v>
      </c>
      <c r="I39" s="9"/>
      <c r="J39" s="9">
        <f>(3+0.2)*2*2*G39</f>
        <v>12.8</v>
      </c>
      <c r="K39" s="9"/>
      <c r="L39" s="9"/>
      <c r="M39" s="9">
        <f>(3+0.2)*G39</f>
        <v>3.2</v>
      </c>
      <c r="N39" s="9"/>
    </row>
    <row r="40" ht="200.15" customHeight="1" spans="1:14">
      <c r="A40" s="7">
        <v>40</v>
      </c>
      <c r="B40" s="7" t="s">
        <v>68</v>
      </c>
      <c r="C40" s="7" t="s">
        <v>98</v>
      </c>
      <c r="D40" s="7" t="s">
        <v>79</v>
      </c>
      <c r="E40" s="7"/>
      <c r="F40" s="7" t="s">
        <v>112</v>
      </c>
      <c r="G40" s="7">
        <v>1</v>
      </c>
      <c r="H40" s="7" t="s">
        <v>45</v>
      </c>
      <c r="I40" s="9"/>
      <c r="J40" s="9">
        <f>(5.2+0.2)*2*2*G40</f>
        <v>21.6</v>
      </c>
      <c r="K40" s="9"/>
      <c r="L40" s="9"/>
      <c r="M40" s="9">
        <f>(5.2+0.2)*G40</f>
        <v>5.4</v>
      </c>
      <c r="N40" s="9"/>
    </row>
    <row r="41" ht="200.15" customHeight="1" spans="1:14">
      <c r="A41" s="7">
        <v>41</v>
      </c>
      <c r="B41" s="7" t="s">
        <v>68</v>
      </c>
      <c r="C41" s="7" t="s">
        <v>82</v>
      </c>
      <c r="D41" s="7" t="s">
        <v>79</v>
      </c>
      <c r="E41" s="7"/>
      <c r="F41" s="7" t="s">
        <v>113</v>
      </c>
      <c r="G41" s="7">
        <v>1</v>
      </c>
      <c r="H41" s="7" t="s">
        <v>45</v>
      </c>
      <c r="I41" s="9"/>
      <c r="J41" s="9">
        <f>(1.2+0.2)*2*G41</f>
        <v>2.8</v>
      </c>
      <c r="K41" s="9"/>
      <c r="L41" s="9"/>
      <c r="M41" s="9">
        <f>(1.2+0.2)*G41</f>
        <v>1.4</v>
      </c>
      <c r="N41" s="9"/>
    </row>
    <row r="42" ht="200.15" customHeight="1" spans="1:14">
      <c r="A42" s="7">
        <v>42</v>
      </c>
      <c r="B42" s="7" t="s">
        <v>68</v>
      </c>
      <c r="C42" s="7" t="s">
        <v>104</v>
      </c>
      <c r="D42" s="7" t="s">
        <v>79</v>
      </c>
      <c r="E42" s="7"/>
      <c r="F42" s="7" t="s">
        <v>107</v>
      </c>
      <c r="G42" s="7">
        <v>1</v>
      </c>
      <c r="H42" s="7" t="s">
        <v>45</v>
      </c>
      <c r="I42" s="9"/>
      <c r="J42" s="9">
        <f>(2.3+0.2)*2*2*G42</f>
        <v>10</v>
      </c>
      <c r="K42" s="9"/>
      <c r="L42" s="9"/>
      <c r="M42" s="9">
        <f>(2.3+0.2)*G42</f>
        <v>2.5</v>
      </c>
      <c r="N42" s="9"/>
    </row>
    <row r="43" ht="200.15" customHeight="1" spans="1:14">
      <c r="A43" s="7">
        <v>43</v>
      </c>
      <c r="B43" s="7" t="s">
        <v>68</v>
      </c>
      <c r="C43" s="7" t="s">
        <v>81</v>
      </c>
      <c r="D43" s="7" t="s">
        <v>79</v>
      </c>
      <c r="E43" s="7"/>
      <c r="F43" s="7" t="s">
        <v>115</v>
      </c>
      <c r="G43" s="7">
        <v>1</v>
      </c>
      <c r="H43" s="7" t="s">
        <v>45</v>
      </c>
      <c r="I43" s="9"/>
      <c r="J43" s="9">
        <f>(1.3+0.2)*2*G43</f>
        <v>3</v>
      </c>
      <c r="K43" s="9"/>
      <c r="L43" s="9"/>
      <c r="M43" s="9">
        <f>(1.3+0.2)*G43</f>
        <v>1.5</v>
      </c>
      <c r="N43" s="9"/>
    </row>
    <row r="44" ht="200.15" customHeight="1" spans="1:14">
      <c r="A44" s="7">
        <v>44</v>
      </c>
      <c r="B44" s="12" t="s">
        <v>70</v>
      </c>
      <c r="C44" s="12" t="s">
        <v>60</v>
      </c>
      <c r="D44" s="7" t="s">
        <v>94</v>
      </c>
      <c r="E44" s="7"/>
      <c r="F44" s="7" t="s">
        <v>95</v>
      </c>
      <c r="G44" s="7">
        <v>16</v>
      </c>
      <c r="H44" s="7" t="s">
        <v>45</v>
      </c>
      <c r="I44" s="9"/>
      <c r="J44" s="9">
        <f>(3.2+0.2)*2*2*G44</f>
        <v>217.6</v>
      </c>
      <c r="K44" s="9"/>
      <c r="L44" s="9"/>
      <c r="M44" s="9">
        <f>(3.2+0.2)*2*G44</f>
        <v>108.8</v>
      </c>
      <c r="N44" s="9"/>
    </row>
    <row r="45" ht="200.15" customHeight="1" spans="1:14">
      <c r="A45" s="7">
        <v>45</v>
      </c>
      <c r="B45" s="12" t="s">
        <v>70</v>
      </c>
      <c r="C45" s="12" t="s">
        <v>57</v>
      </c>
      <c r="D45" s="7" t="s">
        <v>94</v>
      </c>
      <c r="E45" s="7"/>
      <c r="F45" s="7" t="s">
        <v>106</v>
      </c>
      <c r="G45" s="7">
        <v>2</v>
      </c>
      <c r="H45" s="7" t="s">
        <v>45</v>
      </c>
      <c r="I45" s="9"/>
      <c r="J45" s="9">
        <f>(4.6+0.2+3.7+0.2)*2*2*G45</f>
        <v>69.6</v>
      </c>
      <c r="K45" s="9"/>
      <c r="L45" s="9"/>
      <c r="M45" s="9">
        <f>(4.6+0.2+3.7+0.2)*G45</f>
        <v>17.4</v>
      </c>
      <c r="N45" s="9"/>
    </row>
    <row r="46" ht="200.15" customHeight="1" spans="1:14">
      <c r="A46" s="7">
        <v>46</v>
      </c>
      <c r="B46" s="7" t="s">
        <v>70</v>
      </c>
      <c r="C46" s="7" t="s">
        <v>117</v>
      </c>
      <c r="D46" s="7" t="s">
        <v>79</v>
      </c>
      <c r="E46" s="7"/>
      <c r="F46" s="7" t="s">
        <v>107</v>
      </c>
      <c r="G46" s="7">
        <v>1</v>
      </c>
      <c r="H46" s="7" t="s">
        <v>45</v>
      </c>
      <c r="I46" s="9"/>
      <c r="J46" s="9">
        <f>(2.3+0.2)*2*2*G46</f>
        <v>10</v>
      </c>
      <c r="K46" s="9"/>
      <c r="L46" s="9"/>
      <c r="M46" s="9">
        <f>(2.3+0.2)*G46</f>
        <v>2.5</v>
      </c>
      <c r="N46" s="9"/>
    </row>
    <row r="47" ht="200.15" customHeight="1" spans="1:14">
      <c r="A47" s="7">
        <v>47</v>
      </c>
      <c r="B47" s="7" t="s">
        <v>70</v>
      </c>
      <c r="C47" s="7" t="s">
        <v>98</v>
      </c>
      <c r="D47" s="7" t="s">
        <v>79</v>
      </c>
      <c r="E47" s="7"/>
      <c r="F47" s="7" t="s">
        <v>112</v>
      </c>
      <c r="G47" s="7">
        <v>1</v>
      </c>
      <c r="H47" s="7" t="s">
        <v>45</v>
      </c>
      <c r="I47" s="9"/>
      <c r="J47" s="9">
        <f>(5.2+0.2)*2*2*G47</f>
        <v>21.6</v>
      </c>
      <c r="K47" s="9"/>
      <c r="L47" s="9"/>
      <c r="M47" s="9">
        <f>(5.2+0.2)*G47</f>
        <v>5.4</v>
      </c>
      <c r="N47" s="9"/>
    </row>
    <row r="48" ht="200.15" customHeight="1" spans="1:14">
      <c r="A48" s="7">
        <v>48</v>
      </c>
      <c r="B48" s="7" t="s">
        <v>70</v>
      </c>
      <c r="C48" s="7" t="s">
        <v>82</v>
      </c>
      <c r="D48" s="7" t="s">
        <v>79</v>
      </c>
      <c r="E48" s="7"/>
      <c r="F48" s="7" t="s">
        <v>113</v>
      </c>
      <c r="G48" s="7">
        <v>1</v>
      </c>
      <c r="H48" s="7" t="s">
        <v>45</v>
      </c>
      <c r="I48" s="9"/>
      <c r="J48" s="9">
        <f>(1.2+0.2)*2*G48</f>
        <v>2.8</v>
      </c>
      <c r="K48" s="9"/>
      <c r="L48" s="9"/>
      <c r="M48" s="9">
        <f>(1.2+0.2)*G48</f>
        <v>1.4</v>
      </c>
      <c r="N48" s="9"/>
    </row>
    <row r="49" ht="200.15" customHeight="1" spans="1:14">
      <c r="A49" s="7">
        <v>49</v>
      </c>
      <c r="B49" s="7" t="s">
        <v>70</v>
      </c>
      <c r="C49" s="7" t="s">
        <v>104</v>
      </c>
      <c r="D49" s="7" t="s">
        <v>79</v>
      </c>
      <c r="E49" s="7"/>
      <c r="F49" s="7" t="s">
        <v>107</v>
      </c>
      <c r="G49" s="7">
        <v>1</v>
      </c>
      <c r="H49" s="7" t="s">
        <v>45</v>
      </c>
      <c r="I49" s="9"/>
      <c r="J49" s="9">
        <f>(2.3+0.2)*2*2*G49</f>
        <v>10</v>
      </c>
      <c r="K49" s="9"/>
      <c r="L49" s="9"/>
      <c r="M49" s="9">
        <f>(2.3+0.2)*G49</f>
        <v>2.5</v>
      </c>
      <c r="N49" s="9"/>
    </row>
    <row r="50" ht="200.15" customHeight="1" spans="1:14">
      <c r="A50" s="7">
        <v>50</v>
      </c>
      <c r="B50" s="7" t="s">
        <v>70</v>
      </c>
      <c r="C50" s="7" t="s">
        <v>81</v>
      </c>
      <c r="D50" s="7" t="s">
        <v>79</v>
      </c>
      <c r="E50" s="7"/>
      <c r="F50" s="7" t="s">
        <v>115</v>
      </c>
      <c r="G50" s="7">
        <v>1</v>
      </c>
      <c r="H50" s="7" t="s">
        <v>45</v>
      </c>
      <c r="I50" s="9"/>
      <c r="J50" s="9">
        <f>(1.3+0.2)*2*G50</f>
        <v>3</v>
      </c>
      <c r="K50" s="9"/>
      <c r="L50" s="9"/>
      <c r="M50" s="9">
        <f>(1.3+0.2)*G50</f>
        <v>1.5</v>
      </c>
      <c r="N50" s="9"/>
    </row>
    <row r="51" ht="200.15" customHeight="1" spans="1:14">
      <c r="A51" s="7">
        <v>51</v>
      </c>
      <c r="B51" s="12" t="s">
        <v>118</v>
      </c>
      <c r="C51" s="12" t="s">
        <v>119</v>
      </c>
      <c r="D51" s="7" t="s">
        <v>120</v>
      </c>
      <c r="E51" s="7"/>
      <c r="F51" s="7" t="s">
        <v>121</v>
      </c>
      <c r="G51" s="7">
        <v>2</v>
      </c>
      <c r="H51" s="7" t="s">
        <v>45</v>
      </c>
      <c r="I51" s="9"/>
      <c r="J51" s="9">
        <f>(5.9+0.2+7.4+0.2)*2*G51</f>
        <v>54.8</v>
      </c>
      <c r="K51" s="9"/>
      <c r="L51" s="9"/>
      <c r="M51" s="9"/>
      <c r="N51" s="9"/>
    </row>
    <row r="52" ht="200.15" customHeight="1" spans="1:14">
      <c r="A52" s="7">
        <v>52</v>
      </c>
      <c r="B52" s="7" t="s">
        <v>122</v>
      </c>
      <c r="C52" s="7" t="s">
        <v>123</v>
      </c>
      <c r="D52" s="7" t="s">
        <v>79</v>
      </c>
      <c r="E52" s="7"/>
      <c r="F52" s="7" t="s">
        <v>124</v>
      </c>
      <c r="G52" s="7">
        <v>2</v>
      </c>
      <c r="H52" s="7" t="s">
        <v>45</v>
      </c>
      <c r="I52" s="9"/>
      <c r="J52" s="9">
        <f>(1+0.2)*2*G52</f>
        <v>4.8</v>
      </c>
      <c r="K52" s="9"/>
      <c r="L52" s="9"/>
      <c r="M52" s="9">
        <f>(1+0.2)*G52</f>
        <v>2.4</v>
      </c>
      <c r="N52" s="9"/>
    </row>
    <row r="53" ht="200.15" customHeight="1" spans="1:14">
      <c r="A53" s="7">
        <v>53</v>
      </c>
      <c r="B53" s="12" t="s">
        <v>125</v>
      </c>
      <c r="C53" s="12" t="s">
        <v>126</v>
      </c>
      <c r="D53" s="7" t="s">
        <v>85</v>
      </c>
      <c r="E53" s="7"/>
      <c r="F53" s="7" t="s">
        <v>127</v>
      </c>
      <c r="G53" s="7">
        <v>2</v>
      </c>
      <c r="H53" s="7" t="s">
        <v>45</v>
      </c>
      <c r="I53" s="9"/>
      <c r="J53" s="9">
        <f>(7.6+0.2+4+0.2)*2*G53</f>
        <v>48</v>
      </c>
      <c r="K53" s="9"/>
      <c r="L53" s="9"/>
      <c r="M53" s="9">
        <f>(7.6+0.2+4+0.2)*G53</f>
        <v>24</v>
      </c>
      <c r="N53" s="9"/>
    </row>
    <row r="54" ht="200.15" customHeight="1" spans="1:14">
      <c r="A54" s="7">
        <v>54</v>
      </c>
      <c r="B54" s="12" t="s">
        <v>128</v>
      </c>
      <c r="C54" s="12" t="s">
        <v>82</v>
      </c>
      <c r="D54" s="7" t="s">
        <v>79</v>
      </c>
      <c r="E54" s="7"/>
      <c r="F54" s="7" t="s">
        <v>129</v>
      </c>
      <c r="G54" s="7">
        <v>1</v>
      </c>
      <c r="H54" s="7" t="s">
        <v>45</v>
      </c>
      <c r="I54" s="9"/>
      <c r="J54" s="9">
        <f>(1+0.2)*2*G54</f>
        <v>2.4</v>
      </c>
      <c r="K54" s="9"/>
      <c r="L54" s="9"/>
      <c r="M54" s="9">
        <f>(1+0.2)*G54</f>
        <v>1.2</v>
      </c>
      <c r="N54" s="9"/>
    </row>
    <row r="55" ht="200.15" customHeight="1" spans="1:14">
      <c r="A55" s="7">
        <v>55</v>
      </c>
      <c r="B55" s="12" t="s">
        <v>128</v>
      </c>
      <c r="C55" s="12" t="s">
        <v>123</v>
      </c>
      <c r="D55" s="7" t="s">
        <v>79</v>
      </c>
      <c r="E55" s="7"/>
      <c r="F55" s="7" t="s">
        <v>129</v>
      </c>
      <c r="G55" s="7">
        <v>1</v>
      </c>
      <c r="H55" s="7" t="s">
        <v>45</v>
      </c>
      <c r="I55" s="9"/>
      <c r="J55" s="9">
        <f>(1+0.2)*2*G55</f>
        <v>2.4</v>
      </c>
      <c r="K55" s="9"/>
      <c r="L55" s="9"/>
      <c r="M55" s="9">
        <f>(1+0.2)*G55</f>
        <v>1.2</v>
      </c>
      <c r="N55" s="9"/>
    </row>
    <row r="56" ht="200.15" customHeight="1" spans="1:14">
      <c r="A56" s="7">
        <v>56</v>
      </c>
      <c r="B56" s="12" t="s">
        <v>130</v>
      </c>
      <c r="C56" s="12" t="s">
        <v>131</v>
      </c>
      <c r="D56" s="7" t="s">
        <v>85</v>
      </c>
      <c r="E56" s="7"/>
      <c r="F56" s="7" t="s">
        <v>132</v>
      </c>
      <c r="G56" s="7">
        <v>2</v>
      </c>
      <c r="H56" s="7" t="s">
        <v>45</v>
      </c>
      <c r="I56" s="9"/>
      <c r="J56" s="9">
        <f>(3.6+0.2+4.2+0.2)*2*G56</f>
        <v>32.8</v>
      </c>
      <c r="K56" s="9"/>
      <c r="L56" s="9"/>
      <c r="M56" s="9">
        <f>(3.6+0.2+4.2+0.2)*G56</f>
        <v>16.4</v>
      </c>
      <c r="N56" s="9"/>
    </row>
    <row r="57" ht="200.15" customHeight="1" spans="1:14">
      <c r="A57" s="7">
        <v>57</v>
      </c>
      <c r="B57" s="12" t="s">
        <v>130</v>
      </c>
      <c r="C57" s="12" t="s">
        <v>133</v>
      </c>
      <c r="D57" s="7" t="s">
        <v>85</v>
      </c>
      <c r="E57" s="7"/>
      <c r="F57" s="7" t="s">
        <v>134</v>
      </c>
      <c r="G57" s="7">
        <v>2</v>
      </c>
      <c r="H57" s="7" t="s">
        <v>45</v>
      </c>
      <c r="I57" s="9"/>
      <c r="J57" s="9">
        <f>(3.6+0.2+3.1+0.2)*2*G57</f>
        <v>28.4</v>
      </c>
      <c r="K57" s="9"/>
      <c r="L57" s="9"/>
      <c r="M57" s="9">
        <f>(3.6+0.2+3.1+0.2)*G57</f>
        <v>14.2</v>
      </c>
      <c r="N57" s="9"/>
    </row>
    <row r="58" ht="86.15" customHeight="1" spans="1:14">
      <c r="A58" s="13" t="s">
        <v>33</v>
      </c>
      <c r="B58" s="14"/>
      <c r="C58" s="14"/>
      <c r="D58" s="14"/>
      <c r="E58" s="14"/>
      <c r="F58" s="15"/>
      <c r="G58" s="7">
        <f>SUM(G3:G57)</f>
        <v>127</v>
      </c>
      <c r="H58" s="7"/>
      <c r="I58" s="9"/>
      <c r="J58" s="9">
        <f>SUM(J3:J57)-8</f>
        <v>2502.68</v>
      </c>
      <c r="K58" s="9"/>
      <c r="L58" s="9"/>
      <c r="M58" s="9">
        <f>SUM(M3:M57)</f>
        <v>1189.39</v>
      </c>
      <c r="N58" s="9"/>
    </row>
    <row r="59" ht="81" customHeight="1" spans="1:14">
      <c r="A59" s="13" t="s">
        <v>135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5"/>
      <c r="M59" s="13"/>
    </row>
  </sheetData>
  <mergeCells count="3">
    <mergeCell ref="A1:N1"/>
    <mergeCell ref="A58:F58"/>
    <mergeCell ref="A59:L59"/>
  </mergeCells>
  <printOptions horizontalCentered="1"/>
  <pageMargins left="0.393055555555556" right="0.393055555555556" top="0.393055555555556" bottom="0.393055555555556" header="0.393055555555556" footer="0.393055555555556"/>
  <pageSetup paperSize="9" scale="19" fitToHeight="0" orientation="portrait"/>
  <headerFooter/>
  <ignoredErrors>
    <ignoredError sqref="J53:M5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"/>
  <sheetViews>
    <sheetView view="pageBreakPreview" zoomScale="25" zoomScaleNormal="25" workbookViewId="0">
      <selection activeCell="K16" sqref="K16"/>
    </sheetView>
  </sheetViews>
  <sheetFormatPr defaultColWidth="9" defaultRowHeight="37.2" outlineLevelRow="5"/>
  <cols>
    <col min="1" max="3" width="25.8148148148148" style="1" customWidth="1"/>
    <col min="4" max="4" width="35.6296296296296" style="1" customWidth="1"/>
    <col min="5" max="6" width="54.3611111111111" style="1" customWidth="1"/>
    <col min="7" max="7" width="24.4537037037037" style="1" customWidth="1"/>
    <col min="8" max="8" width="26.6296296296296" style="1" customWidth="1"/>
    <col min="9" max="9" width="44.9074074074074" style="1" customWidth="1"/>
    <col min="10" max="10" width="30.8148148148148" style="1" customWidth="1"/>
    <col min="11" max="11" width="38.2222222222222" style="1" customWidth="1"/>
    <col min="12" max="12" width="43.5555555555556" style="1" customWidth="1"/>
    <col min="13" max="15" width="30.8148148148148" style="1" customWidth="1"/>
    <col min="16" max="16384" width="9" style="1"/>
  </cols>
  <sheetData>
    <row r="1" ht="80" customHeight="1" spans="1:14">
      <c r="A1" s="4" t="s">
        <v>34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ht="80" customHeight="1" spans="1:14">
      <c r="A2" s="5" t="s">
        <v>2</v>
      </c>
      <c r="B2" s="6" t="s">
        <v>35</v>
      </c>
      <c r="C2" s="6" t="s">
        <v>36</v>
      </c>
      <c r="D2" s="6" t="s">
        <v>3</v>
      </c>
      <c r="E2" s="6" t="s">
        <v>4</v>
      </c>
      <c r="F2" s="6" t="s">
        <v>37</v>
      </c>
      <c r="G2" s="5" t="s">
        <v>6</v>
      </c>
      <c r="H2" s="5" t="s">
        <v>7</v>
      </c>
      <c r="I2" s="6" t="s">
        <v>71</v>
      </c>
      <c r="J2" s="6" t="s">
        <v>72</v>
      </c>
      <c r="K2" s="6" t="s">
        <v>136</v>
      </c>
      <c r="L2" s="6" t="s">
        <v>137</v>
      </c>
      <c r="M2" s="6" t="s">
        <v>75</v>
      </c>
      <c r="N2" s="6" t="s">
        <v>76</v>
      </c>
    </row>
    <row r="3" ht="200.15" customHeight="1" spans="1:14">
      <c r="A3" s="7">
        <v>1</v>
      </c>
      <c r="B3" s="7" t="s">
        <v>49</v>
      </c>
      <c r="C3" s="7" t="s">
        <v>138</v>
      </c>
      <c r="D3" s="7" t="s">
        <v>139</v>
      </c>
      <c r="E3" s="7"/>
      <c r="F3" s="7" t="s">
        <v>140</v>
      </c>
      <c r="G3" s="7">
        <v>1</v>
      </c>
      <c r="H3" s="7" t="s">
        <v>45</v>
      </c>
      <c r="I3" s="9"/>
      <c r="J3" s="9">
        <v>8.4</v>
      </c>
      <c r="K3" s="9"/>
      <c r="L3" s="9"/>
      <c r="M3" s="9">
        <v>4.2</v>
      </c>
      <c r="N3" s="9"/>
    </row>
    <row r="4" ht="200.15" customHeight="1" spans="1:14">
      <c r="A4" s="7">
        <v>2</v>
      </c>
      <c r="B4" s="7" t="s">
        <v>118</v>
      </c>
      <c r="C4" s="7" t="s">
        <v>119</v>
      </c>
      <c r="D4" s="7" t="s">
        <v>141</v>
      </c>
      <c r="E4" s="7"/>
      <c r="F4" s="7" t="s">
        <v>121</v>
      </c>
      <c r="G4" s="7">
        <v>2</v>
      </c>
      <c r="H4" s="7" t="s">
        <v>45</v>
      </c>
      <c r="I4" s="9"/>
      <c r="J4" s="9">
        <v>54.8</v>
      </c>
      <c r="K4" s="9"/>
      <c r="L4" s="9"/>
      <c r="M4" s="9"/>
      <c r="N4" s="9"/>
    </row>
    <row r="5" ht="117" customHeight="1" spans="1:14">
      <c r="A5" s="7" t="s">
        <v>33</v>
      </c>
      <c r="B5" s="7"/>
      <c r="C5" s="7"/>
      <c r="D5" s="7"/>
      <c r="E5" s="7"/>
      <c r="F5" s="7"/>
      <c r="G5" s="7">
        <f>SUM(G3:G4)</f>
        <v>3</v>
      </c>
      <c r="H5" s="7"/>
      <c r="I5" s="9"/>
      <c r="J5" s="9"/>
      <c r="K5" s="9"/>
      <c r="L5" s="9"/>
      <c r="M5" s="9"/>
      <c r="N5" s="9"/>
    </row>
    <row r="6" ht="110" customHeight="1" spans="1:14">
      <c r="A6" s="8" t="s">
        <v>135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</sheetData>
  <mergeCells count="3">
    <mergeCell ref="A1:N1"/>
    <mergeCell ref="A5:F5"/>
    <mergeCell ref="A6:M6"/>
  </mergeCells>
  <printOptions horizontalCentered="1"/>
  <pageMargins left="0.393055555555556" right="0.393055555555556" top="0.393055555555556" bottom="0.393055555555556" header="0.393055555555556" footer="0.393055555555556"/>
  <pageSetup paperSize="9" scale="1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29"/>
  <sheetViews>
    <sheetView view="pageBreakPreview" zoomScale="25" zoomScaleNormal="25" workbookViewId="0">
      <selection activeCell="Y7" sqref="Y7"/>
    </sheetView>
  </sheetViews>
  <sheetFormatPr defaultColWidth="9" defaultRowHeight="39.6"/>
  <cols>
    <col min="1" max="2" width="25.8148148148148" style="1" customWidth="1"/>
    <col min="3" max="3" width="34.6296296296296" style="2" customWidth="1"/>
    <col min="4" max="4" width="48" style="1" customWidth="1"/>
    <col min="5" max="5" width="54.3611111111111" style="1" customWidth="1"/>
    <col min="6" max="6" width="42.9074074074074" style="1" customWidth="1"/>
    <col min="7" max="7" width="28.4537037037037" style="1" customWidth="1"/>
    <col min="8" max="8" width="27.0925925925926" style="1" customWidth="1"/>
    <col min="9" max="9" width="35.5462962962963" style="3" customWidth="1"/>
    <col min="10" max="11" width="40.8148148148148" style="1" customWidth="1"/>
    <col min="12" max="12" width="15.6296296296296" style="1"/>
    <col min="13" max="16384" width="9" style="1"/>
  </cols>
  <sheetData>
    <row r="1" ht="80" customHeight="1" spans="1:11">
      <c r="A1" s="4" t="s">
        <v>34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ht="80" customHeight="1" spans="1:11">
      <c r="A2" s="5" t="s">
        <v>2</v>
      </c>
      <c r="B2" s="6" t="s">
        <v>35</v>
      </c>
      <c r="C2" s="6" t="s">
        <v>36</v>
      </c>
      <c r="D2" s="6" t="s">
        <v>3</v>
      </c>
      <c r="E2" s="6" t="s">
        <v>4</v>
      </c>
      <c r="F2" s="6" t="s">
        <v>37</v>
      </c>
      <c r="G2" s="5" t="s">
        <v>6</v>
      </c>
      <c r="H2" s="5" t="s">
        <v>7</v>
      </c>
      <c r="I2" s="6" t="s">
        <v>142</v>
      </c>
      <c r="J2" s="6" t="s">
        <v>143</v>
      </c>
      <c r="K2" s="6" t="s">
        <v>144</v>
      </c>
    </row>
    <row r="3" ht="200.15" customHeight="1" spans="1:11">
      <c r="A3" s="7">
        <v>1</v>
      </c>
      <c r="B3" s="7" t="s">
        <v>77</v>
      </c>
      <c r="C3" s="7" t="s">
        <v>145</v>
      </c>
      <c r="D3" s="7" t="s">
        <v>146</v>
      </c>
      <c r="E3" s="7"/>
      <c r="F3" s="7" t="s">
        <v>147</v>
      </c>
      <c r="G3" s="7">
        <v>2</v>
      </c>
      <c r="H3" s="7" t="s">
        <v>45</v>
      </c>
      <c r="I3" s="7">
        <f>(7.2+0.5)*(3.5+0.3)*G3</f>
        <v>58.52</v>
      </c>
      <c r="J3" s="9"/>
      <c r="K3" s="9"/>
    </row>
    <row r="4" ht="200.15" customHeight="1" spans="1:11">
      <c r="A4" s="7">
        <v>2</v>
      </c>
      <c r="B4" s="7" t="s">
        <v>77</v>
      </c>
      <c r="C4" s="7" t="s">
        <v>148</v>
      </c>
      <c r="D4" s="7" t="s">
        <v>146</v>
      </c>
      <c r="E4" s="7"/>
      <c r="F4" s="7" t="s">
        <v>147</v>
      </c>
      <c r="G4" s="7">
        <v>1</v>
      </c>
      <c r="H4" s="7" t="s">
        <v>45</v>
      </c>
      <c r="I4" s="7">
        <f>(7.2+0.2)*(3.5+0.3)*G4</f>
        <v>28.12</v>
      </c>
      <c r="J4" s="9"/>
      <c r="K4" s="9"/>
    </row>
    <row r="5" ht="200.15" customHeight="1" spans="1:11">
      <c r="A5" s="7">
        <v>3</v>
      </c>
      <c r="B5" s="7" t="s">
        <v>77</v>
      </c>
      <c r="C5" s="7" t="s">
        <v>149</v>
      </c>
      <c r="D5" s="7" t="s">
        <v>146</v>
      </c>
      <c r="E5" s="7"/>
      <c r="F5" s="7" t="s">
        <v>147</v>
      </c>
      <c r="G5" s="7">
        <v>1</v>
      </c>
      <c r="H5" s="7" t="s">
        <v>45</v>
      </c>
      <c r="I5" s="7">
        <f>(7.2+0.5)*(3.5+0.3)*G5</f>
        <v>29.26</v>
      </c>
      <c r="J5" s="9"/>
      <c r="K5" s="9"/>
    </row>
    <row r="6" ht="200.15" customHeight="1" spans="1:11">
      <c r="A6" s="7">
        <v>4</v>
      </c>
      <c r="B6" s="7" t="s">
        <v>77</v>
      </c>
      <c r="C6" s="7" t="s">
        <v>150</v>
      </c>
      <c r="D6" s="7" t="s">
        <v>146</v>
      </c>
      <c r="E6" s="7"/>
      <c r="F6" s="7" t="s">
        <v>147</v>
      </c>
      <c r="G6" s="7">
        <v>1</v>
      </c>
      <c r="H6" s="7" t="s">
        <v>45</v>
      </c>
      <c r="I6" s="7">
        <f>(7.2+0.5)*(3.5+0.3)</f>
        <v>29.26</v>
      </c>
      <c r="J6" s="9"/>
      <c r="K6" s="9"/>
    </row>
    <row r="7" ht="200.15" customHeight="1" spans="1:11">
      <c r="A7" s="7">
        <v>5</v>
      </c>
      <c r="B7" s="7" t="s">
        <v>77</v>
      </c>
      <c r="C7" s="7" t="s">
        <v>151</v>
      </c>
      <c r="D7" s="7" t="s">
        <v>146</v>
      </c>
      <c r="E7" s="7"/>
      <c r="F7" s="7" t="s">
        <v>152</v>
      </c>
      <c r="G7" s="7">
        <v>1</v>
      </c>
      <c r="H7" s="7" t="s">
        <v>45</v>
      </c>
      <c r="I7" s="7">
        <f>((2.2+0.2+1.5+0.2)*3.5+0.3)*G7</f>
        <v>14.65</v>
      </c>
      <c r="J7" s="9"/>
      <c r="K7" s="9"/>
    </row>
    <row r="8" ht="200.15" customHeight="1" spans="1:11">
      <c r="A8" s="7">
        <v>6</v>
      </c>
      <c r="B8" s="7" t="s">
        <v>77</v>
      </c>
      <c r="C8" s="7" t="s">
        <v>153</v>
      </c>
      <c r="D8" s="7" t="s">
        <v>146</v>
      </c>
      <c r="E8" s="7"/>
      <c r="F8" s="7" t="s">
        <v>154</v>
      </c>
      <c r="G8" s="7">
        <v>1</v>
      </c>
      <c r="H8" s="7" t="s">
        <v>45</v>
      </c>
      <c r="I8" s="7">
        <f>1.2*(3.5+0.3)*G8</f>
        <v>4.56</v>
      </c>
      <c r="J8" s="9"/>
      <c r="K8" s="9"/>
    </row>
    <row r="9" ht="200.15" customHeight="1" spans="1:11">
      <c r="A9" s="7">
        <v>7</v>
      </c>
      <c r="B9" s="7" t="s">
        <v>77</v>
      </c>
      <c r="C9" s="7" t="s">
        <v>155</v>
      </c>
      <c r="D9" s="7" t="s">
        <v>146</v>
      </c>
      <c r="E9" s="7"/>
      <c r="F9" s="7" t="s">
        <v>156</v>
      </c>
      <c r="G9" s="7">
        <v>1</v>
      </c>
      <c r="H9" s="7" t="s">
        <v>45</v>
      </c>
      <c r="I9" s="7">
        <f>(1.6+0.2)*(3.5+0.3)*G9</f>
        <v>6.84</v>
      </c>
      <c r="J9" s="9"/>
      <c r="K9" s="9"/>
    </row>
    <row r="10" ht="200.15" customHeight="1" spans="1:11">
      <c r="A10" s="7">
        <v>8</v>
      </c>
      <c r="B10" s="7" t="s">
        <v>77</v>
      </c>
      <c r="C10" s="7" t="s">
        <v>157</v>
      </c>
      <c r="D10" s="7" t="s">
        <v>146</v>
      </c>
      <c r="E10" s="7"/>
      <c r="F10" s="7" t="s">
        <v>158</v>
      </c>
      <c r="G10" s="7">
        <v>1</v>
      </c>
      <c r="H10" s="7" t="s">
        <v>45</v>
      </c>
      <c r="I10" s="7">
        <f>(1.2+0.2)*(3.5+0.3)*G10</f>
        <v>5.32</v>
      </c>
      <c r="J10" s="9"/>
      <c r="K10" s="9"/>
    </row>
    <row r="11" ht="200.15" customHeight="1" spans="1:11">
      <c r="A11" s="7">
        <v>9</v>
      </c>
      <c r="B11" s="7" t="s">
        <v>77</v>
      </c>
      <c r="C11" s="7" t="s">
        <v>159</v>
      </c>
      <c r="D11" s="7" t="s">
        <v>146</v>
      </c>
      <c r="E11" s="7"/>
      <c r="F11" s="7" t="s">
        <v>158</v>
      </c>
      <c r="G11" s="7">
        <v>1</v>
      </c>
      <c r="H11" s="7" t="s">
        <v>45</v>
      </c>
      <c r="I11" s="7">
        <f>(1.2+0.2)*(3.5+0.3)*G11</f>
        <v>5.32</v>
      </c>
      <c r="J11" s="9"/>
      <c r="K11" s="9"/>
    </row>
    <row r="12" ht="200.15" customHeight="1" spans="1:11">
      <c r="A12" s="7">
        <v>10</v>
      </c>
      <c r="B12" s="7" t="s">
        <v>77</v>
      </c>
      <c r="C12" s="7" t="s">
        <v>160</v>
      </c>
      <c r="D12" s="7" t="s">
        <v>146</v>
      </c>
      <c r="E12" s="7"/>
      <c r="F12" s="7" t="s">
        <v>161</v>
      </c>
      <c r="G12" s="7">
        <v>1</v>
      </c>
      <c r="H12" s="7" t="s">
        <v>45</v>
      </c>
      <c r="I12" s="7">
        <f>(7.2+0.5+6.8+0.5)*(3.5+0.3)*G12</f>
        <v>57</v>
      </c>
      <c r="J12" s="9"/>
      <c r="K12" s="9"/>
    </row>
    <row r="13" ht="200.15" customHeight="1" spans="1:11">
      <c r="A13" s="7">
        <v>11</v>
      </c>
      <c r="B13" s="7" t="s">
        <v>77</v>
      </c>
      <c r="C13" s="7" t="s">
        <v>162</v>
      </c>
      <c r="D13" s="7" t="s">
        <v>146</v>
      </c>
      <c r="E13" s="7"/>
      <c r="F13" s="7" t="s">
        <v>163</v>
      </c>
      <c r="G13" s="7">
        <v>1</v>
      </c>
      <c r="H13" s="7" t="s">
        <v>45</v>
      </c>
      <c r="I13" s="7">
        <f>(3.5+0.2)*(3.5+0.3)*G13</f>
        <v>14.06</v>
      </c>
      <c r="J13" s="9"/>
      <c r="K13" s="9"/>
    </row>
    <row r="14" ht="200.15" customHeight="1" spans="1:11">
      <c r="A14" s="7">
        <v>12</v>
      </c>
      <c r="B14" s="7" t="s">
        <v>77</v>
      </c>
      <c r="C14" s="7" t="s">
        <v>164</v>
      </c>
      <c r="D14" s="7" t="s">
        <v>146</v>
      </c>
      <c r="E14" s="7"/>
      <c r="F14" s="7" t="s">
        <v>163</v>
      </c>
      <c r="G14" s="7">
        <v>1</v>
      </c>
      <c r="H14" s="7" t="s">
        <v>45</v>
      </c>
      <c r="I14" s="7">
        <f>(3.5+0.2)*(3.5+0.3)*G14</f>
        <v>14.06</v>
      </c>
      <c r="J14" s="9"/>
      <c r="K14" s="9"/>
    </row>
    <row r="15" ht="200.15" customHeight="1" spans="1:11">
      <c r="A15" s="7">
        <v>13</v>
      </c>
      <c r="B15" s="7" t="s">
        <v>77</v>
      </c>
      <c r="C15" s="7" t="s">
        <v>165</v>
      </c>
      <c r="D15" s="7" t="s">
        <v>146</v>
      </c>
      <c r="E15" s="7"/>
      <c r="F15" s="7" t="s">
        <v>166</v>
      </c>
      <c r="G15" s="7">
        <v>1</v>
      </c>
      <c r="H15" s="7" t="s">
        <v>45</v>
      </c>
      <c r="I15" s="7">
        <f>(22+2)*(3.5+0.3)*G15</f>
        <v>91.2</v>
      </c>
      <c r="J15" s="9"/>
      <c r="K15" s="9"/>
    </row>
    <row r="16" ht="200.15" customHeight="1" spans="1:11">
      <c r="A16" s="7">
        <v>14</v>
      </c>
      <c r="B16" s="7" t="s">
        <v>41</v>
      </c>
      <c r="C16" s="7" t="s">
        <v>167</v>
      </c>
      <c r="D16" s="7" t="s">
        <v>146</v>
      </c>
      <c r="E16" s="7"/>
      <c r="F16" s="7" t="s">
        <v>168</v>
      </c>
      <c r="G16" s="7">
        <v>2</v>
      </c>
      <c r="H16" s="7" t="s">
        <v>45</v>
      </c>
      <c r="I16" s="7">
        <f>(7.6+0.2)*(2.8+0.3)*G16</f>
        <v>48.36</v>
      </c>
      <c r="J16" s="9"/>
      <c r="K16" s="9"/>
    </row>
    <row r="17" ht="200.15" customHeight="1" spans="1:11">
      <c r="A17" s="7">
        <v>15</v>
      </c>
      <c r="B17" s="7" t="s">
        <v>41</v>
      </c>
      <c r="C17" s="7" t="s">
        <v>42</v>
      </c>
      <c r="D17" s="7" t="s">
        <v>146</v>
      </c>
      <c r="E17" s="7"/>
      <c r="F17" s="7" t="s">
        <v>169</v>
      </c>
      <c r="G17" s="7">
        <v>7</v>
      </c>
      <c r="H17" s="7" t="s">
        <v>45</v>
      </c>
      <c r="I17" s="7">
        <f>(21+2)*(2.8+0.3)*G17</f>
        <v>499.1</v>
      </c>
      <c r="J17" s="9"/>
      <c r="K17" s="9"/>
    </row>
    <row r="18" ht="200.15" customHeight="1" spans="1:11">
      <c r="A18" s="7">
        <v>16</v>
      </c>
      <c r="B18" s="7" t="s">
        <v>41</v>
      </c>
      <c r="C18" s="7" t="s">
        <v>170</v>
      </c>
      <c r="D18" s="7" t="s">
        <v>146</v>
      </c>
      <c r="E18" s="7"/>
      <c r="F18" s="7" t="s">
        <v>129</v>
      </c>
      <c r="G18" s="7">
        <v>2</v>
      </c>
      <c r="H18" s="7" t="s">
        <v>45</v>
      </c>
      <c r="I18" s="7">
        <f>(1+0.2)*(2.8+0.3)*G18</f>
        <v>7.44</v>
      </c>
      <c r="J18" s="9"/>
      <c r="K18" s="9"/>
    </row>
    <row r="19" ht="200.15" customHeight="1" spans="1:11">
      <c r="A19" s="7">
        <v>17</v>
      </c>
      <c r="B19" s="7" t="s">
        <v>41</v>
      </c>
      <c r="C19" s="7" t="s">
        <v>171</v>
      </c>
      <c r="D19" s="7" t="s">
        <v>146</v>
      </c>
      <c r="E19" s="7"/>
      <c r="F19" s="7" t="s">
        <v>172</v>
      </c>
      <c r="G19" s="7">
        <v>2</v>
      </c>
      <c r="H19" s="7" t="s">
        <v>45</v>
      </c>
      <c r="I19" s="7">
        <f>(2.9+0.2)*(2.8+0.3)*G19</f>
        <v>19.22</v>
      </c>
      <c r="J19" s="9"/>
      <c r="K19" s="9"/>
    </row>
    <row r="20" ht="200.15" customHeight="1" spans="1:11">
      <c r="A20" s="7">
        <v>18</v>
      </c>
      <c r="B20" s="7" t="s">
        <v>41</v>
      </c>
      <c r="C20" s="7" t="s">
        <v>173</v>
      </c>
      <c r="D20" s="7" t="s">
        <v>146</v>
      </c>
      <c r="E20" s="7"/>
      <c r="F20" s="7" t="s">
        <v>129</v>
      </c>
      <c r="G20" s="7">
        <v>2</v>
      </c>
      <c r="H20" s="7" t="s">
        <v>45</v>
      </c>
      <c r="I20" s="7">
        <f>(1+0.2)*(2.8+0.3)*G20</f>
        <v>7.44</v>
      </c>
      <c r="J20" s="9"/>
      <c r="K20" s="9"/>
    </row>
    <row r="21" ht="200.15" customHeight="1" spans="1:11">
      <c r="A21" s="7">
        <v>19</v>
      </c>
      <c r="B21" s="7" t="s">
        <v>41</v>
      </c>
      <c r="C21" s="7" t="s">
        <v>174</v>
      </c>
      <c r="D21" s="7" t="s">
        <v>146</v>
      </c>
      <c r="E21" s="7"/>
      <c r="F21" s="7" t="s">
        <v>175</v>
      </c>
      <c r="G21" s="7">
        <v>1</v>
      </c>
      <c r="H21" s="7" t="s">
        <v>45</v>
      </c>
      <c r="I21" s="7">
        <f>(4.4+0.2)*(2.8+0.3)*G21</f>
        <v>14.26</v>
      </c>
      <c r="J21" s="9"/>
      <c r="K21" s="9"/>
    </row>
    <row r="22" ht="200.15" customHeight="1" spans="1:11">
      <c r="A22" s="7">
        <v>20</v>
      </c>
      <c r="B22" s="7" t="s">
        <v>41</v>
      </c>
      <c r="C22" s="7" t="s">
        <v>46</v>
      </c>
      <c r="D22" s="7" t="s">
        <v>146</v>
      </c>
      <c r="E22" s="7"/>
      <c r="F22" s="7" t="s">
        <v>140</v>
      </c>
      <c r="G22" s="7">
        <v>4</v>
      </c>
      <c r="H22" s="7" t="s">
        <v>45</v>
      </c>
      <c r="I22" s="7">
        <f>(4+0.2)*(2.8+0.3)*G22</f>
        <v>52.08</v>
      </c>
      <c r="J22" s="9"/>
      <c r="K22" s="9"/>
    </row>
    <row r="23" ht="200.15" customHeight="1" spans="1:11">
      <c r="A23" s="7">
        <v>21</v>
      </c>
      <c r="B23" s="7" t="s">
        <v>41</v>
      </c>
      <c r="C23" s="7" t="s">
        <v>176</v>
      </c>
      <c r="D23" s="7" t="s">
        <v>146</v>
      </c>
      <c r="E23" s="7"/>
      <c r="F23" s="7" t="s">
        <v>177</v>
      </c>
      <c r="G23" s="7">
        <v>1</v>
      </c>
      <c r="H23" s="7" t="s">
        <v>45</v>
      </c>
      <c r="I23" s="7">
        <f>(7.4+0.2)*(2.8+0.3)*G23</f>
        <v>23.56</v>
      </c>
      <c r="J23" s="9"/>
      <c r="K23" s="9"/>
    </row>
    <row r="24" ht="200.15" customHeight="1" spans="1:11">
      <c r="A24" s="7">
        <v>22</v>
      </c>
      <c r="B24" s="7" t="s">
        <v>41</v>
      </c>
      <c r="C24" s="7" t="s">
        <v>178</v>
      </c>
      <c r="D24" s="7" t="s">
        <v>146</v>
      </c>
      <c r="E24" s="7"/>
      <c r="F24" s="7" t="s">
        <v>179</v>
      </c>
      <c r="G24" s="7">
        <v>1</v>
      </c>
      <c r="H24" s="7" t="s">
        <v>45</v>
      </c>
      <c r="I24" s="7">
        <f>(7.6+0.2)*(2.8+0.3)*G24</f>
        <v>24.18</v>
      </c>
      <c r="J24" s="9"/>
      <c r="K24" s="9"/>
    </row>
    <row r="25" ht="200.15" customHeight="1" spans="1:11">
      <c r="A25" s="7">
        <v>23</v>
      </c>
      <c r="B25" s="7" t="s">
        <v>41</v>
      </c>
      <c r="C25" s="7" t="s">
        <v>180</v>
      </c>
      <c r="D25" s="7" t="s">
        <v>146</v>
      </c>
      <c r="E25" s="7"/>
      <c r="F25" s="7" t="s">
        <v>181</v>
      </c>
      <c r="G25" s="7">
        <v>1</v>
      </c>
      <c r="H25" s="7" t="s">
        <v>45</v>
      </c>
      <c r="I25" s="7">
        <f>(5.6+0.2)*(2.8+0.3)*G25</f>
        <v>17.98</v>
      </c>
      <c r="J25" s="9"/>
      <c r="K25" s="9"/>
    </row>
    <row r="26" ht="200.15" customHeight="1" spans="1:11">
      <c r="A26" s="7">
        <v>24</v>
      </c>
      <c r="B26" s="7" t="s">
        <v>41</v>
      </c>
      <c r="C26" s="7" t="s">
        <v>182</v>
      </c>
      <c r="D26" s="7" t="s">
        <v>146</v>
      </c>
      <c r="E26" s="7"/>
      <c r="F26" s="7" t="s">
        <v>107</v>
      </c>
      <c r="G26" s="7">
        <v>1</v>
      </c>
      <c r="H26" s="7" t="s">
        <v>45</v>
      </c>
      <c r="I26" s="7">
        <f>(2.3+0.2)*(2.8+0.3)*G26</f>
        <v>7.75</v>
      </c>
      <c r="J26" s="9"/>
      <c r="K26" s="9"/>
    </row>
    <row r="27" ht="200.15" customHeight="1" spans="1:11">
      <c r="A27" s="7">
        <v>25</v>
      </c>
      <c r="B27" s="7" t="s">
        <v>41</v>
      </c>
      <c r="C27" s="7" t="s">
        <v>151</v>
      </c>
      <c r="D27" s="7" t="s">
        <v>146</v>
      </c>
      <c r="E27" s="7"/>
      <c r="F27" s="7" t="s">
        <v>183</v>
      </c>
      <c r="G27" s="7">
        <v>1</v>
      </c>
      <c r="H27" s="7" t="s">
        <v>45</v>
      </c>
      <c r="I27" s="7">
        <f>(3.5+0.2)*(2.8+0.3)*G27</f>
        <v>11.47</v>
      </c>
      <c r="J27" s="9"/>
      <c r="K27" s="9"/>
    </row>
    <row r="28" ht="200.15" customHeight="1" spans="1:11">
      <c r="A28" s="7">
        <v>26</v>
      </c>
      <c r="B28" s="7" t="s">
        <v>41</v>
      </c>
      <c r="C28" s="7" t="s">
        <v>153</v>
      </c>
      <c r="D28" s="7" t="s">
        <v>146</v>
      </c>
      <c r="E28" s="7"/>
      <c r="F28" s="7" t="s">
        <v>175</v>
      </c>
      <c r="G28" s="7">
        <v>1</v>
      </c>
      <c r="H28" s="7" t="s">
        <v>45</v>
      </c>
      <c r="I28" s="7">
        <f>(4.4+0.2)*(2.8+0.3)*G28</f>
        <v>14.26</v>
      </c>
      <c r="J28" s="9"/>
      <c r="K28" s="9"/>
    </row>
    <row r="29" ht="200.15" customHeight="1" spans="1:11">
      <c r="A29" s="7">
        <v>27</v>
      </c>
      <c r="B29" s="7" t="s">
        <v>41</v>
      </c>
      <c r="C29" s="7" t="s">
        <v>184</v>
      </c>
      <c r="D29" s="7" t="s">
        <v>146</v>
      </c>
      <c r="E29" s="7"/>
      <c r="F29" s="7" t="s">
        <v>185</v>
      </c>
      <c r="G29" s="7">
        <v>1</v>
      </c>
      <c r="H29" s="7" t="s">
        <v>45</v>
      </c>
      <c r="I29" s="7">
        <f>(1.2+0.2)*(2.8+0.3)*G29</f>
        <v>4.34</v>
      </c>
      <c r="J29" s="9"/>
      <c r="K29" s="9"/>
    </row>
    <row r="30" ht="200.15" customHeight="1" spans="1:11">
      <c r="A30" s="7">
        <v>28</v>
      </c>
      <c r="B30" s="7" t="s">
        <v>41</v>
      </c>
      <c r="C30" s="7" t="s">
        <v>186</v>
      </c>
      <c r="D30" s="7" t="s">
        <v>146</v>
      </c>
      <c r="E30" s="7"/>
      <c r="F30" s="7" t="s">
        <v>185</v>
      </c>
      <c r="G30" s="7">
        <v>1</v>
      </c>
      <c r="H30" s="7" t="s">
        <v>45</v>
      </c>
      <c r="I30" s="7">
        <f>(1.2+0.2)*(2.8+0.3)*G30</f>
        <v>4.34</v>
      </c>
      <c r="J30" s="9"/>
      <c r="K30" s="9"/>
    </row>
    <row r="31" ht="200.15" customHeight="1" spans="1:11">
      <c r="A31" s="7">
        <v>29</v>
      </c>
      <c r="B31" s="7" t="s">
        <v>41</v>
      </c>
      <c r="C31" s="7" t="s">
        <v>187</v>
      </c>
      <c r="D31" s="7" t="s">
        <v>146</v>
      </c>
      <c r="E31" s="7"/>
      <c r="F31" s="7" t="s">
        <v>185</v>
      </c>
      <c r="G31" s="7">
        <v>1</v>
      </c>
      <c r="H31" s="7" t="s">
        <v>45</v>
      </c>
      <c r="I31" s="7">
        <f>(1.2+0.2)*(2.8+0.3)*G31</f>
        <v>4.34</v>
      </c>
      <c r="J31" s="9"/>
      <c r="K31" s="9"/>
    </row>
    <row r="32" ht="200.15" customHeight="1" spans="1:11">
      <c r="A32" s="7">
        <v>30</v>
      </c>
      <c r="B32" s="7" t="s">
        <v>41</v>
      </c>
      <c r="C32" s="7" t="s">
        <v>174</v>
      </c>
      <c r="D32" s="7" t="s">
        <v>146</v>
      </c>
      <c r="E32" s="7"/>
      <c r="F32" s="7" t="s">
        <v>188</v>
      </c>
      <c r="G32" s="7">
        <v>1</v>
      </c>
      <c r="H32" s="7" t="s">
        <v>45</v>
      </c>
      <c r="I32" s="7">
        <f>(2.2+0.2)*(2.8+0.3)*G32</f>
        <v>7.44</v>
      </c>
      <c r="J32" s="9"/>
      <c r="K32" s="9"/>
    </row>
    <row r="33" ht="200.15" customHeight="1" spans="1:11">
      <c r="A33" s="7">
        <v>31</v>
      </c>
      <c r="B33" s="7" t="s">
        <v>41</v>
      </c>
      <c r="C33" s="7" t="s">
        <v>189</v>
      </c>
      <c r="D33" s="7" t="s">
        <v>146</v>
      </c>
      <c r="E33" s="7"/>
      <c r="F33" s="7" t="s">
        <v>190</v>
      </c>
      <c r="G33" s="7">
        <v>1</v>
      </c>
      <c r="H33" s="7" t="s">
        <v>45</v>
      </c>
      <c r="I33" s="7">
        <f>(5.9+0.2)*(2.8+0.3)*G33</f>
        <v>18.91</v>
      </c>
      <c r="J33" s="9"/>
      <c r="K33" s="9"/>
    </row>
    <row r="34" ht="200.15" customHeight="1" spans="1:11">
      <c r="A34" s="7">
        <v>32</v>
      </c>
      <c r="B34" s="7" t="s">
        <v>41</v>
      </c>
      <c r="C34" s="7" t="s">
        <v>191</v>
      </c>
      <c r="D34" s="7" t="s">
        <v>146</v>
      </c>
      <c r="E34" s="7"/>
      <c r="F34" s="7" t="s">
        <v>192</v>
      </c>
      <c r="G34" s="7">
        <v>1</v>
      </c>
      <c r="H34" s="7" t="s">
        <v>45</v>
      </c>
      <c r="I34" s="7">
        <f>(6+0.2)*(2.8+0.3)*G34</f>
        <v>19.22</v>
      </c>
      <c r="J34" s="9"/>
      <c r="K34" s="9"/>
    </row>
    <row r="35" ht="200.15" customHeight="1" spans="1:11">
      <c r="A35" s="7">
        <v>33</v>
      </c>
      <c r="B35" s="7" t="s">
        <v>41</v>
      </c>
      <c r="C35" s="7" t="s">
        <v>193</v>
      </c>
      <c r="D35" s="7" t="s">
        <v>146</v>
      </c>
      <c r="E35" s="7"/>
      <c r="F35" s="7" t="s">
        <v>194</v>
      </c>
      <c r="G35" s="7">
        <v>1</v>
      </c>
      <c r="H35" s="7" t="s">
        <v>45</v>
      </c>
      <c r="I35" s="7">
        <f>(2.9+0.2)*(2.8+0.3)*G35</f>
        <v>9.61</v>
      </c>
      <c r="J35" s="9"/>
      <c r="K35" s="9"/>
    </row>
    <row r="36" ht="200.15" customHeight="1" spans="1:11">
      <c r="A36" s="7">
        <v>34</v>
      </c>
      <c r="B36" s="7" t="s">
        <v>41</v>
      </c>
      <c r="C36" s="7" t="s">
        <v>47</v>
      </c>
      <c r="D36" s="7" t="s">
        <v>146</v>
      </c>
      <c r="E36" s="7"/>
      <c r="F36" s="7" t="s">
        <v>195</v>
      </c>
      <c r="G36" s="7">
        <v>5</v>
      </c>
      <c r="H36" s="7" t="s">
        <v>45</v>
      </c>
      <c r="I36" s="7">
        <f>((4.2+0.2+5.4+0.2+2.6+0.2+3+0.2)*(2.8+0.3)*G36)</f>
        <v>248</v>
      </c>
      <c r="J36" s="9"/>
      <c r="K36" s="9"/>
    </row>
    <row r="37" ht="200.15" customHeight="1" spans="1:11">
      <c r="A37" s="7">
        <v>35</v>
      </c>
      <c r="B37" s="7" t="s">
        <v>41</v>
      </c>
      <c r="C37" s="7" t="s">
        <v>196</v>
      </c>
      <c r="D37" s="7" t="s">
        <v>146</v>
      </c>
      <c r="E37" s="7"/>
      <c r="F37" s="7" t="s">
        <v>197</v>
      </c>
      <c r="G37" s="7">
        <v>1</v>
      </c>
      <c r="H37" s="7" t="s">
        <v>45</v>
      </c>
      <c r="I37" s="7">
        <f>(3.6+0.2)*(2.8+0.3)*G37</f>
        <v>11.78</v>
      </c>
      <c r="J37" s="9"/>
      <c r="K37" s="9"/>
    </row>
    <row r="38" ht="200.15" customHeight="1" spans="1:11">
      <c r="A38" s="7">
        <v>36</v>
      </c>
      <c r="B38" s="7" t="s">
        <v>49</v>
      </c>
      <c r="C38" s="7" t="s">
        <v>198</v>
      </c>
      <c r="D38" s="7" t="s">
        <v>146</v>
      </c>
      <c r="E38" s="7"/>
      <c r="F38" s="7" t="s">
        <v>168</v>
      </c>
      <c r="G38" s="7">
        <v>1</v>
      </c>
      <c r="H38" s="7" t="s">
        <v>45</v>
      </c>
      <c r="I38" s="7">
        <f>(7.6+0.2)*(2.8+0.3)*G38</f>
        <v>24.18</v>
      </c>
      <c r="J38" s="9"/>
      <c r="K38" s="9"/>
    </row>
    <row r="39" ht="200.15" customHeight="1" spans="1:11">
      <c r="A39" s="7">
        <v>37</v>
      </c>
      <c r="B39" s="7" t="s">
        <v>49</v>
      </c>
      <c r="C39" s="7" t="s">
        <v>50</v>
      </c>
      <c r="D39" s="7" t="s">
        <v>146</v>
      </c>
      <c r="E39" s="7"/>
      <c r="F39" s="7" t="s">
        <v>199</v>
      </c>
      <c r="G39" s="7">
        <v>4</v>
      </c>
      <c r="H39" s="7" t="s">
        <v>45</v>
      </c>
      <c r="I39" s="7">
        <f>(3.1+0.2)*(2.8+0.3)*G39</f>
        <v>40.92</v>
      </c>
      <c r="J39" s="9"/>
      <c r="K39" s="9"/>
    </row>
    <row r="40" ht="200.15" customHeight="1" spans="1:11">
      <c r="A40" s="7">
        <v>38</v>
      </c>
      <c r="B40" s="7" t="s">
        <v>49</v>
      </c>
      <c r="C40" s="7" t="s">
        <v>138</v>
      </c>
      <c r="D40" s="7" t="s">
        <v>146</v>
      </c>
      <c r="E40" s="7"/>
      <c r="F40" s="7" t="s">
        <v>140</v>
      </c>
      <c r="G40" s="7">
        <v>1</v>
      </c>
      <c r="H40" s="7" t="s">
        <v>45</v>
      </c>
      <c r="I40" s="7">
        <f>(4+0.2)*(2.8+0.3)*G40</f>
        <v>13.02</v>
      </c>
      <c r="J40" s="9"/>
      <c r="K40" s="9"/>
    </row>
    <row r="41" ht="200.15" customHeight="1" spans="1:11">
      <c r="A41" s="7">
        <v>39</v>
      </c>
      <c r="B41" s="7" t="s">
        <v>49</v>
      </c>
      <c r="C41" s="7" t="s">
        <v>200</v>
      </c>
      <c r="D41" s="7" t="s">
        <v>146</v>
      </c>
      <c r="E41" s="7"/>
      <c r="F41" s="7" t="s">
        <v>201</v>
      </c>
      <c r="G41" s="7">
        <v>1</v>
      </c>
      <c r="H41" s="7" t="s">
        <v>45</v>
      </c>
      <c r="I41" s="7">
        <f>(5.1+0.2)*(2.8+0.3)*G41</f>
        <v>16.43</v>
      </c>
      <c r="J41" s="9"/>
      <c r="K41" s="9"/>
    </row>
    <row r="42" ht="200.15" customHeight="1" spans="1:11">
      <c r="A42" s="7">
        <v>40</v>
      </c>
      <c r="B42" s="7" t="s">
        <v>49</v>
      </c>
      <c r="C42" s="7" t="s">
        <v>202</v>
      </c>
      <c r="D42" s="7" t="s">
        <v>146</v>
      </c>
      <c r="E42" s="7"/>
      <c r="F42" s="7" t="s">
        <v>129</v>
      </c>
      <c r="G42" s="7">
        <v>1</v>
      </c>
      <c r="H42" s="7" t="s">
        <v>45</v>
      </c>
      <c r="I42" s="7">
        <f>(1+0.2)*(2.8+0.3)*G42</f>
        <v>3.72</v>
      </c>
      <c r="J42" s="9"/>
      <c r="K42" s="9"/>
    </row>
    <row r="43" ht="200.15" customHeight="1" spans="1:11">
      <c r="A43" s="7">
        <v>41</v>
      </c>
      <c r="B43" s="7" t="s">
        <v>49</v>
      </c>
      <c r="C43" s="7" t="s">
        <v>203</v>
      </c>
      <c r="D43" s="7" t="s">
        <v>146</v>
      </c>
      <c r="E43" s="7"/>
      <c r="F43" s="7" t="s">
        <v>129</v>
      </c>
      <c r="G43" s="7">
        <v>1</v>
      </c>
      <c r="H43" s="7" t="s">
        <v>45</v>
      </c>
      <c r="I43" s="7">
        <f>(1+0.2)*(2.8+0.3)*G43</f>
        <v>3.72</v>
      </c>
      <c r="J43" s="9"/>
      <c r="K43" s="9"/>
    </row>
    <row r="44" ht="200.15" customHeight="1" spans="1:11">
      <c r="A44" s="7">
        <v>42</v>
      </c>
      <c r="B44" s="7" t="s">
        <v>49</v>
      </c>
      <c r="C44" s="7" t="s">
        <v>204</v>
      </c>
      <c r="D44" s="7" t="s">
        <v>146</v>
      </c>
      <c r="E44" s="7"/>
      <c r="F44" s="7" t="s">
        <v>205</v>
      </c>
      <c r="G44" s="7">
        <v>1</v>
      </c>
      <c r="H44" s="7" t="s">
        <v>45</v>
      </c>
      <c r="I44" s="7">
        <f>(2.8+0.2)*(2.8+0.3)*G44</f>
        <v>9.3</v>
      </c>
      <c r="J44" s="9"/>
      <c r="K44" s="9"/>
    </row>
    <row r="45" ht="200.15" customHeight="1" spans="1:11">
      <c r="A45" s="7">
        <v>43</v>
      </c>
      <c r="B45" s="7" t="s">
        <v>49</v>
      </c>
      <c r="C45" s="7" t="s">
        <v>206</v>
      </c>
      <c r="D45" s="7" t="s">
        <v>146</v>
      </c>
      <c r="E45" s="7"/>
      <c r="F45" s="7" t="s">
        <v>207</v>
      </c>
      <c r="G45" s="7">
        <v>1</v>
      </c>
      <c r="H45" s="7" t="s">
        <v>45</v>
      </c>
      <c r="I45" s="7">
        <f>(4.4+0.2+3.5+0.2)*(2.8+0.3)*G45</f>
        <v>25.73</v>
      </c>
      <c r="J45" s="9"/>
      <c r="K45" s="9"/>
    </row>
    <row r="46" ht="200.15" customHeight="1" spans="1:11">
      <c r="A46" s="7">
        <v>44</v>
      </c>
      <c r="B46" s="7" t="s">
        <v>49</v>
      </c>
      <c r="C46" s="7" t="s">
        <v>208</v>
      </c>
      <c r="D46" s="7" t="s">
        <v>146</v>
      </c>
      <c r="E46" s="7"/>
      <c r="F46" s="7" t="s">
        <v>209</v>
      </c>
      <c r="G46" s="7">
        <v>3</v>
      </c>
      <c r="H46" s="7" t="s">
        <v>45</v>
      </c>
      <c r="I46" s="7">
        <f>(3.45+0.2+4+0.2+3.9+0.2)*(2.8+0.3)*G46</f>
        <v>111.135</v>
      </c>
      <c r="J46" s="9"/>
      <c r="K46" s="9"/>
    </row>
    <row r="47" ht="200.15" customHeight="1" spans="1:11">
      <c r="A47" s="7">
        <v>45</v>
      </c>
      <c r="B47" s="7" t="s">
        <v>49</v>
      </c>
      <c r="C47" s="7" t="s">
        <v>210</v>
      </c>
      <c r="D47" s="7" t="s">
        <v>146</v>
      </c>
      <c r="E47" s="7"/>
      <c r="F47" s="7" t="s">
        <v>177</v>
      </c>
      <c r="G47" s="7">
        <v>1</v>
      </c>
      <c r="H47" s="7" t="s">
        <v>45</v>
      </c>
      <c r="I47" s="7">
        <f>(7.4+0.2)*(2.8+0.3)*G47</f>
        <v>23.56</v>
      </c>
      <c r="J47" s="9"/>
      <c r="K47" s="9"/>
    </row>
    <row r="48" ht="200.15" customHeight="1" spans="1:11">
      <c r="A48" s="7">
        <v>46</v>
      </c>
      <c r="B48" s="7" t="s">
        <v>49</v>
      </c>
      <c r="C48" s="7" t="s">
        <v>211</v>
      </c>
      <c r="D48" s="7" t="s">
        <v>146</v>
      </c>
      <c r="E48" s="7"/>
      <c r="F48" s="7" t="s">
        <v>114</v>
      </c>
      <c r="G48" s="7">
        <v>1</v>
      </c>
      <c r="H48" s="7" t="s">
        <v>45</v>
      </c>
      <c r="I48" s="7">
        <f>(3+0.2)*(2.8+0.3)*G48</f>
        <v>9.92</v>
      </c>
      <c r="J48" s="9"/>
      <c r="K48" s="9"/>
    </row>
    <row r="49" ht="200.15" customHeight="1" spans="1:11">
      <c r="A49" s="7">
        <v>47</v>
      </c>
      <c r="B49" s="7" t="s">
        <v>49</v>
      </c>
      <c r="C49" s="7" t="s">
        <v>212</v>
      </c>
      <c r="D49" s="7" t="s">
        <v>146</v>
      </c>
      <c r="E49" s="7"/>
      <c r="F49" s="7" t="s">
        <v>213</v>
      </c>
      <c r="G49" s="7">
        <v>1</v>
      </c>
      <c r="H49" s="7" t="s">
        <v>45</v>
      </c>
      <c r="I49" s="7">
        <f>(4.9+0.2)*(2.8+0.3)*G49</f>
        <v>15.81</v>
      </c>
      <c r="J49" s="9"/>
      <c r="K49" s="9"/>
    </row>
    <row r="50" ht="200.15" customHeight="1" spans="1:11">
      <c r="A50" s="7">
        <v>48</v>
      </c>
      <c r="B50" s="7" t="s">
        <v>49</v>
      </c>
      <c r="C50" s="7" t="s">
        <v>160</v>
      </c>
      <c r="D50" s="7" t="s">
        <v>146</v>
      </c>
      <c r="E50" s="7"/>
      <c r="F50" s="7" t="s">
        <v>183</v>
      </c>
      <c r="G50" s="7">
        <v>1</v>
      </c>
      <c r="H50" s="7" t="s">
        <v>45</v>
      </c>
      <c r="I50" s="7">
        <f>(3.5+0.2)*(2.8+0.3)*G50</f>
        <v>11.47</v>
      </c>
      <c r="J50" s="9"/>
      <c r="K50" s="9"/>
    </row>
    <row r="51" ht="200.15" customHeight="1" spans="1:11">
      <c r="A51" s="7">
        <v>49</v>
      </c>
      <c r="B51" s="7" t="s">
        <v>49</v>
      </c>
      <c r="C51" s="7" t="s">
        <v>214</v>
      </c>
      <c r="D51" s="7" t="s">
        <v>146</v>
      </c>
      <c r="E51" s="7"/>
      <c r="F51" s="7" t="s">
        <v>112</v>
      </c>
      <c r="G51" s="7">
        <v>1</v>
      </c>
      <c r="H51" s="7" t="s">
        <v>45</v>
      </c>
      <c r="I51" s="7">
        <f>(5.2+0.2)*(2.8+0.3)*G51</f>
        <v>16.74</v>
      </c>
      <c r="J51" s="9"/>
      <c r="K51" s="9"/>
    </row>
    <row r="52" ht="200.15" customHeight="1" spans="1:11">
      <c r="A52" s="7">
        <v>50</v>
      </c>
      <c r="B52" s="7" t="s">
        <v>49</v>
      </c>
      <c r="C52" s="7" t="s">
        <v>215</v>
      </c>
      <c r="D52" s="7" t="s">
        <v>146</v>
      </c>
      <c r="E52" s="7"/>
      <c r="F52" s="7" t="s">
        <v>111</v>
      </c>
      <c r="G52" s="7">
        <v>1</v>
      </c>
      <c r="H52" s="7" t="s">
        <v>45</v>
      </c>
      <c r="I52" s="7">
        <f>(2.4+0.2)*(2.8+0.3)*G52</f>
        <v>8.06</v>
      </c>
      <c r="J52" s="9"/>
      <c r="K52" s="9"/>
    </row>
    <row r="53" ht="200.15" customHeight="1" spans="1:11">
      <c r="A53" s="7">
        <v>51</v>
      </c>
      <c r="B53" s="7" t="s">
        <v>49</v>
      </c>
      <c r="C53" s="7" t="s">
        <v>216</v>
      </c>
      <c r="D53" s="7" t="s">
        <v>146</v>
      </c>
      <c r="E53" s="7"/>
      <c r="F53" s="7" t="s">
        <v>217</v>
      </c>
      <c r="G53" s="7">
        <v>1</v>
      </c>
      <c r="H53" s="7" t="s">
        <v>45</v>
      </c>
      <c r="I53" s="7">
        <f>(3.5+0.2+4.4+0.2)*(2.8+0.3)*G53</f>
        <v>25.73</v>
      </c>
      <c r="J53" s="9"/>
      <c r="K53" s="9"/>
    </row>
    <row r="54" ht="200.15" customHeight="1" spans="1:11">
      <c r="A54" s="7">
        <v>52</v>
      </c>
      <c r="B54" s="7" t="s">
        <v>49</v>
      </c>
      <c r="C54" s="7" t="s">
        <v>184</v>
      </c>
      <c r="D54" s="7" t="s">
        <v>146</v>
      </c>
      <c r="E54" s="7"/>
      <c r="F54" s="7" t="s">
        <v>185</v>
      </c>
      <c r="G54" s="7">
        <v>1</v>
      </c>
      <c r="H54" s="7" t="s">
        <v>45</v>
      </c>
      <c r="I54" s="7">
        <f>(1.2+0.2)*(2.8+0.3)*G54</f>
        <v>4.34</v>
      </c>
      <c r="J54" s="9"/>
      <c r="K54" s="9"/>
    </row>
    <row r="55" ht="200.15" customHeight="1" spans="1:11">
      <c r="A55" s="7">
        <v>53</v>
      </c>
      <c r="B55" s="7" t="s">
        <v>49</v>
      </c>
      <c r="C55" s="7" t="s">
        <v>186</v>
      </c>
      <c r="D55" s="7" t="s">
        <v>146</v>
      </c>
      <c r="E55" s="7"/>
      <c r="F55" s="7" t="s">
        <v>185</v>
      </c>
      <c r="G55" s="7">
        <v>1</v>
      </c>
      <c r="H55" s="7" t="s">
        <v>45</v>
      </c>
      <c r="I55" s="7">
        <f>(1.2+0.2)*(2.8+0.3)*G55</f>
        <v>4.34</v>
      </c>
      <c r="J55" s="9"/>
      <c r="K55" s="9"/>
    </row>
    <row r="56" ht="200.15" customHeight="1" spans="1:11">
      <c r="A56" s="7">
        <v>54</v>
      </c>
      <c r="B56" s="7" t="s">
        <v>49</v>
      </c>
      <c r="C56" s="7" t="s">
        <v>187</v>
      </c>
      <c r="D56" s="7" t="s">
        <v>146</v>
      </c>
      <c r="E56" s="7"/>
      <c r="F56" s="7" t="s">
        <v>185</v>
      </c>
      <c r="G56" s="7">
        <v>1</v>
      </c>
      <c r="H56" s="7" t="s">
        <v>45</v>
      </c>
      <c r="I56" s="7">
        <f>(1.2+0.2)*(2.8+0.3)*G56</f>
        <v>4.34</v>
      </c>
      <c r="J56" s="9"/>
      <c r="K56" s="9"/>
    </row>
    <row r="57" ht="200.15" customHeight="1" spans="1:11">
      <c r="A57" s="7">
        <v>55</v>
      </c>
      <c r="B57" s="7" t="s">
        <v>49</v>
      </c>
      <c r="C57" s="7" t="s">
        <v>174</v>
      </c>
      <c r="D57" s="7" t="s">
        <v>146</v>
      </c>
      <c r="E57" s="7"/>
      <c r="F57" s="7" t="s">
        <v>188</v>
      </c>
      <c r="G57" s="7">
        <v>1</v>
      </c>
      <c r="H57" s="7" t="s">
        <v>45</v>
      </c>
      <c r="I57" s="7">
        <f>(2.2+0.2)*(2.8+0.3)*G57</f>
        <v>7.44</v>
      </c>
      <c r="J57" s="9"/>
      <c r="K57" s="9"/>
    </row>
    <row r="58" ht="200.15" customHeight="1" spans="1:11">
      <c r="A58" s="7">
        <v>56</v>
      </c>
      <c r="B58" s="7" t="s">
        <v>49</v>
      </c>
      <c r="C58" s="7" t="s">
        <v>218</v>
      </c>
      <c r="D58" s="7" t="s">
        <v>146</v>
      </c>
      <c r="E58" s="7"/>
      <c r="F58" s="7" t="s">
        <v>219</v>
      </c>
      <c r="G58" s="7">
        <v>1</v>
      </c>
      <c r="H58" s="7" t="s">
        <v>45</v>
      </c>
      <c r="I58" s="7">
        <f>(2.8+0.2+3.2+0.2)*(2.8+0.3)*G58</f>
        <v>19.84</v>
      </c>
      <c r="J58" s="9"/>
      <c r="K58" s="9"/>
    </row>
    <row r="59" ht="200.15" customHeight="1" spans="1:11">
      <c r="A59" s="7">
        <v>57</v>
      </c>
      <c r="B59" s="7" t="s">
        <v>49</v>
      </c>
      <c r="C59" s="7" t="s">
        <v>191</v>
      </c>
      <c r="D59" s="7" t="s">
        <v>146</v>
      </c>
      <c r="E59" s="7"/>
      <c r="F59" s="7" t="s">
        <v>185</v>
      </c>
      <c r="G59" s="7">
        <v>1</v>
      </c>
      <c r="H59" s="7" t="s">
        <v>45</v>
      </c>
      <c r="I59" s="7">
        <f>(1.2+0.2)*(2.8+0.3)*G59</f>
        <v>4.34</v>
      </c>
      <c r="J59" s="9"/>
      <c r="K59" s="9"/>
    </row>
    <row r="60" ht="200.15" customHeight="1" spans="1:11">
      <c r="A60" s="7">
        <v>58</v>
      </c>
      <c r="B60" s="7" t="s">
        <v>49</v>
      </c>
      <c r="C60" s="7" t="s">
        <v>220</v>
      </c>
      <c r="D60" s="7" t="s">
        <v>146</v>
      </c>
      <c r="E60" s="7"/>
      <c r="F60" s="7" t="s">
        <v>221</v>
      </c>
      <c r="G60" s="7">
        <v>1</v>
      </c>
      <c r="H60" s="7" t="s">
        <v>45</v>
      </c>
      <c r="I60" s="7">
        <f>(6+0.2+2.2+0.2)*(2.8+0.3)*G60</f>
        <v>26.66</v>
      </c>
      <c r="J60" s="9"/>
      <c r="K60" s="9"/>
    </row>
    <row r="61" ht="200.15" customHeight="1" spans="1:11">
      <c r="A61" s="7">
        <v>59</v>
      </c>
      <c r="B61" s="7" t="s">
        <v>49</v>
      </c>
      <c r="C61" s="7" t="s">
        <v>54</v>
      </c>
      <c r="D61" s="7" t="s">
        <v>146</v>
      </c>
      <c r="E61" s="7"/>
      <c r="F61" s="7" t="s">
        <v>194</v>
      </c>
      <c r="G61" s="7">
        <v>1</v>
      </c>
      <c r="H61" s="7" t="s">
        <v>45</v>
      </c>
      <c r="I61" s="7">
        <f>(2.9+0.2)*(2.8+0.3)*G61</f>
        <v>9.61</v>
      </c>
      <c r="J61" s="9"/>
      <c r="K61" s="9"/>
    </row>
    <row r="62" ht="200.15" customHeight="1" spans="1:11">
      <c r="A62" s="7">
        <v>60</v>
      </c>
      <c r="B62" s="7" t="s">
        <v>49</v>
      </c>
      <c r="C62" s="7" t="s">
        <v>55</v>
      </c>
      <c r="D62" s="7" t="s">
        <v>146</v>
      </c>
      <c r="E62" s="7"/>
      <c r="F62" s="7" t="s">
        <v>114</v>
      </c>
      <c r="G62" s="7">
        <v>1</v>
      </c>
      <c r="H62" s="7" t="s">
        <v>45</v>
      </c>
      <c r="I62" s="7">
        <f>(3+0.2)*(2.8+0.3)*G62</f>
        <v>9.92</v>
      </c>
      <c r="J62" s="9"/>
      <c r="K62" s="9"/>
    </row>
    <row r="63" ht="200.15" customHeight="1" spans="1:11">
      <c r="A63" s="7">
        <v>61</v>
      </c>
      <c r="B63" s="7" t="s">
        <v>49</v>
      </c>
      <c r="C63" s="7" t="s">
        <v>222</v>
      </c>
      <c r="D63" s="7" t="s">
        <v>146</v>
      </c>
      <c r="E63" s="7"/>
      <c r="F63" s="7" t="s">
        <v>223</v>
      </c>
      <c r="G63" s="7">
        <v>1</v>
      </c>
      <c r="H63" s="7" t="s">
        <v>45</v>
      </c>
      <c r="I63" s="7">
        <f>(2.6+0.2)*(2.8+0.3)*G63</f>
        <v>8.68</v>
      </c>
      <c r="J63" s="9"/>
      <c r="K63" s="9"/>
    </row>
    <row r="64" ht="200.15" customHeight="1" spans="1:11">
      <c r="A64" s="7">
        <v>62</v>
      </c>
      <c r="B64" s="7" t="s">
        <v>49</v>
      </c>
      <c r="C64" s="7" t="s">
        <v>224</v>
      </c>
      <c r="D64" s="7" t="s">
        <v>146</v>
      </c>
      <c r="E64" s="7"/>
      <c r="F64" s="7" t="s">
        <v>223</v>
      </c>
      <c r="G64" s="7">
        <v>1</v>
      </c>
      <c r="H64" s="7" t="s">
        <v>45</v>
      </c>
      <c r="I64" s="7">
        <f>(2.6+0.2)*(2.8+0.3)*G64</f>
        <v>8.68</v>
      </c>
      <c r="J64" s="9"/>
      <c r="K64" s="9"/>
    </row>
    <row r="65" ht="200.15" customHeight="1" spans="1:11">
      <c r="A65" s="7">
        <v>63</v>
      </c>
      <c r="B65" s="7" t="s">
        <v>49</v>
      </c>
      <c r="C65" s="7" t="s">
        <v>225</v>
      </c>
      <c r="D65" s="7" t="s">
        <v>146</v>
      </c>
      <c r="E65" s="7"/>
      <c r="F65" s="7" t="s">
        <v>223</v>
      </c>
      <c r="G65" s="7">
        <v>1</v>
      </c>
      <c r="H65" s="7" t="s">
        <v>45</v>
      </c>
      <c r="I65" s="7">
        <f>(2.6+0.2)*(2.8+0.3)*G65</f>
        <v>8.68</v>
      </c>
      <c r="J65" s="9"/>
      <c r="K65" s="9"/>
    </row>
    <row r="66" ht="200.15" customHeight="1" spans="1:11">
      <c r="A66" s="7">
        <v>64</v>
      </c>
      <c r="B66" s="7" t="s">
        <v>49</v>
      </c>
      <c r="C66" s="7" t="s">
        <v>226</v>
      </c>
      <c r="D66" s="7" t="s">
        <v>146</v>
      </c>
      <c r="E66" s="7"/>
      <c r="F66" s="7" t="s">
        <v>227</v>
      </c>
      <c r="G66" s="7">
        <v>1</v>
      </c>
      <c r="H66" s="7" t="s">
        <v>45</v>
      </c>
      <c r="I66" s="7">
        <f>(4.65+0.2)*(2.8+0.3)*G66</f>
        <v>15.035</v>
      </c>
      <c r="J66" s="9"/>
      <c r="K66" s="9"/>
    </row>
    <row r="67" ht="200.15" customHeight="1" spans="1:11">
      <c r="A67" s="7">
        <v>65</v>
      </c>
      <c r="B67" s="7" t="s">
        <v>49</v>
      </c>
      <c r="C67" s="7" t="s">
        <v>196</v>
      </c>
      <c r="D67" s="7" t="s">
        <v>146</v>
      </c>
      <c r="E67" s="7"/>
      <c r="F67" s="7" t="s">
        <v>95</v>
      </c>
      <c r="G67" s="7">
        <v>1</v>
      </c>
      <c r="H67" s="7" t="s">
        <v>45</v>
      </c>
      <c r="I67" s="7">
        <f>(3.2+0.2)*(2.8+0.3)*G67</f>
        <v>10.54</v>
      </c>
      <c r="J67" s="9"/>
      <c r="K67" s="9"/>
    </row>
    <row r="68" ht="200.15" customHeight="1" spans="1:11">
      <c r="A68" s="7">
        <v>66</v>
      </c>
      <c r="B68" s="7" t="s">
        <v>83</v>
      </c>
      <c r="C68" s="7" t="s">
        <v>171</v>
      </c>
      <c r="D68" s="7" t="s">
        <v>146</v>
      </c>
      <c r="E68" s="7"/>
      <c r="F68" s="7" t="s">
        <v>205</v>
      </c>
      <c r="G68" s="7">
        <v>1</v>
      </c>
      <c r="H68" s="7" t="s">
        <v>45</v>
      </c>
      <c r="I68" s="7">
        <f>(2.8+0.2)*(2.8+0.3)*G68</f>
        <v>9.3</v>
      </c>
      <c r="J68" s="9"/>
      <c r="K68" s="9"/>
    </row>
    <row r="69" ht="200.15" customHeight="1" spans="1:11">
      <c r="A69" s="7">
        <v>67</v>
      </c>
      <c r="B69" s="7" t="s">
        <v>83</v>
      </c>
      <c r="C69" s="7" t="s">
        <v>151</v>
      </c>
      <c r="D69" s="7" t="s">
        <v>146</v>
      </c>
      <c r="E69" s="7"/>
      <c r="F69" s="7" t="s">
        <v>228</v>
      </c>
      <c r="G69" s="7">
        <v>1</v>
      </c>
      <c r="H69" s="7" t="s">
        <v>45</v>
      </c>
      <c r="I69" s="7">
        <f>(4.3+0.2)*(2.8+0.3)*G69</f>
        <v>13.95</v>
      </c>
      <c r="J69" s="9"/>
      <c r="K69" s="9"/>
    </row>
    <row r="70" ht="200.15" customHeight="1" spans="1:11">
      <c r="A70" s="7">
        <v>68</v>
      </c>
      <c r="B70" s="7" t="s">
        <v>83</v>
      </c>
      <c r="C70" s="7" t="s">
        <v>229</v>
      </c>
      <c r="D70" s="7" t="s">
        <v>146</v>
      </c>
      <c r="E70" s="7"/>
      <c r="F70" s="7" t="s">
        <v>197</v>
      </c>
      <c r="G70" s="7">
        <v>1</v>
      </c>
      <c r="H70" s="7" t="s">
        <v>45</v>
      </c>
      <c r="I70" s="7">
        <f>(3.6+0.2)*(2.8+0.3)*G70</f>
        <v>11.78</v>
      </c>
      <c r="J70" s="9"/>
      <c r="K70" s="9"/>
    </row>
    <row r="71" ht="200.15" customHeight="1" spans="1:11">
      <c r="A71" s="7">
        <v>69</v>
      </c>
      <c r="B71" s="7" t="s">
        <v>83</v>
      </c>
      <c r="C71" s="7" t="s">
        <v>174</v>
      </c>
      <c r="D71" s="7" t="s">
        <v>146</v>
      </c>
      <c r="E71" s="7"/>
      <c r="F71" s="7" t="s">
        <v>140</v>
      </c>
      <c r="G71" s="7">
        <v>1</v>
      </c>
      <c r="H71" s="7" t="s">
        <v>45</v>
      </c>
      <c r="I71" s="7">
        <f>(4+0.2)*(2.8+0.3)*G71</f>
        <v>13.02</v>
      </c>
      <c r="J71" s="9"/>
      <c r="K71" s="9"/>
    </row>
    <row r="72" ht="200.15" customHeight="1" spans="1:11">
      <c r="A72" s="7">
        <v>70</v>
      </c>
      <c r="B72" s="7" t="s">
        <v>83</v>
      </c>
      <c r="C72" s="7" t="s">
        <v>230</v>
      </c>
      <c r="D72" s="7" t="s">
        <v>146</v>
      </c>
      <c r="E72" s="7"/>
      <c r="F72" s="7" t="s">
        <v>188</v>
      </c>
      <c r="G72" s="7">
        <v>2</v>
      </c>
      <c r="H72" s="7" t="s">
        <v>45</v>
      </c>
      <c r="I72" s="7">
        <f>(2.2+0.2)*(2.8+0.3)*G72</f>
        <v>14.88</v>
      </c>
      <c r="J72" s="9"/>
      <c r="K72" s="9"/>
    </row>
    <row r="73" ht="200.15" customHeight="1" spans="1:11">
      <c r="A73" s="7">
        <v>71</v>
      </c>
      <c r="B73" s="7" t="s">
        <v>83</v>
      </c>
      <c r="C73" s="7" t="s">
        <v>231</v>
      </c>
      <c r="D73" s="7" t="s">
        <v>146</v>
      </c>
      <c r="E73" s="7"/>
      <c r="F73" s="7" t="s">
        <v>140</v>
      </c>
      <c r="G73" s="7">
        <v>1</v>
      </c>
      <c r="H73" s="7" t="s">
        <v>45</v>
      </c>
      <c r="I73" s="7">
        <f>(4+0.2)*(2.8+0.3)*G73</f>
        <v>13.02</v>
      </c>
      <c r="J73" s="9"/>
      <c r="K73" s="9"/>
    </row>
    <row r="74" ht="200.15" customHeight="1" spans="1:11">
      <c r="A74" s="7">
        <v>72</v>
      </c>
      <c r="B74" s="7" t="s">
        <v>83</v>
      </c>
      <c r="C74" s="7" t="s">
        <v>232</v>
      </c>
      <c r="D74" s="7" t="s">
        <v>146</v>
      </c>
      <c r="E74" s="7"/>
      <c r="F74" s="7" t="s">
        <v>140</v>
      </c>
      <c r="G74" s="7">
        <v>1</v>
      </c>
      <c r="H74" s="7" t="s">
        <v>45</v>
      </c>
      <c r="I74" s="7">
        <f>(4+0.2)*(2.8+0.3)*G74</f>
        <v>13.02</v>
      </c>
      <c r="J74" s="9"/>
      <c r="K74" s="9"/>
    </row>
    <row r="75" ht="200.15" customHeight="1" spans="1:11">
      <c r="A75" s="7">
        <v>73</v>
      </c>
      <c r="B75" s="7" t="s">
        <v>83</v>
      </c>
      <c r="C75" s="7" t="s">
        <v>233</v>
      </c>
      <c r="D75" s="7" t="s">
        <v>146</v>
      </c>
      <c r="E75" s="7"/>
      <c r="F75" s="7" t="s">
        <v>140</v>
      </c>
      <c r="G75" s="7">
        <v>1</v>
      </c>
      <c r="H75" s="7" t="s">
        <v>45</v>
      </c>
      <c r="I75" s="7">
        <f>(4+0.2)*(2.8+0.3)*G75</f>
        <v>13.02</v>
      </c>
      <c r="J75" s="9"/>
      <c r="K75" s="9"/>
    </row>
    <row r="76" ht="200.15" customHeight="1" spans="1:11">
      <c r="A76" s="7">
        <v>74</v>
      </c>
      <c r="B76" s="7" t="s">
        <v>83</v>
      </c>
      <c r="C76" s="7" t="s">
        <v>234</v>
      </c>
      <c r="D76" s="7" t="s">
        <v>146</v>
      </c>
      <c r="E76" s="7"/>
      <c r="F76" s="7" t="s">
        <v>235</v>
      </c>
      <c r="G76" s="7">
        <v>1</v>
      </c>
      <c r="H76" s="7" t="s">
        <v>45</v>
      </c>
      <c r="I76" s="7">
        <f>(8.4+0.2)*(2.8+0.3)*G76</f>
        <v>26.66</v>
      </c>
      <c r="J76" s="9"/>
      <c r="K76" s="9"/>
    </row>
    <row r="77" ht="200.15" customHeight="1" spans="1:11">
      <c r="A77" s="7">
        <v>75</v>
      </c>
      <c r="B77" s="7" t="s">
        <v>83</v>
      </c>
      <c r="C77" s="7" t="s">
        <v>236</v>
      </c>
      <c r="D77" s="7" t="s">
        <v>146</v>
      </c>
      <c r="E77" s="7"/>
      <c r="F77" s="7" t="s">
        <v>237</v>
      </c>
      <c r="G77" s="7">
        <v>1</v>
      </c>
      <c r="H77" s="7" t="s">
        <v>45</v>
      </c>
      <c r="I77" s="7">
        <f>(7.2+0.2)*(2.8+0.3)*G77</f>
        <v>22.94</v>
      </c>
      <c r="J77" s="9"/>
      <c r="K77" s="9"/>
    </row>
    <row r="78" ht="200.15" customHeight="1" spans="1:11">
      <c r="A78" s="7">
        <v>76</v>
      </c>
      <c r="B78" s="7" t="s">
        <v>83</v>
      </c>
      <c r="C78" s="7" t="s">
        <v>238</v>
      </c>
      <c r="D78" s="7" t="s">
        <v>146</v>
      </c>
      <c r="E78" s="7"/>
      <c r="F78" s="7" t="s">
        <v>239</v>
      </c>
      <c r="G78" s="7">
        <v>1</v>
      </c>
      <c r="H78" s="7" t="s">
        <v>45</v>
      </c>
      <c r="I78" s="7">
        <f>(1.8+0.2)*(2.8+0.3)*G78</f>
        <v>6.2</v>
      </c>
      <c r="J78" s="9"/>
      <c r="K78" s="9"/>
    </row>
    <row r="79" ht="200.15" customHeight="1" spans="1:11">
      <c r="A79" s="7">
        <v>77</v>
      </c>
      <c r="B79" s="7" t="s">
        <v>83</v>
      </c>
      <c r="C79" s="7" t="s">
        <v>240</v>
      </c>
      <c r="D79" s="7" t="s">
        <v>146</v>
      </c>
      <c r="E79" s="7"/>
      <c r="F79" s="7" t="s">
        <v>241</v>
      </c>
      <c r="G79" s="7">
        <v>1</v>
      </c>
      <c r="H79" s="7" t="s">
        <v>45</v>
      </c>
      <c r="I79" s="7">
        <f>(1+0.2)*(2.8+0.3)*G79</f>
        <v>3.72</v>
      </c>
      <c r="J79" s="9"/>
      <c r="K79" s="9"/>
    </row>
    <row r="80" ht="200.15" customHeight="1" spans="1:11">
      <c r="A80" s="7">
        <v>78</v>
      </c>
      <c r="B80" s="7" t="s">
        <v>83</v>
      </c>
      <c r="C80" s="7" t="s">
        <v>242</v>
      </c>
      <c r="D80" s="7" t="s">
        <v>146</v>
      </c>
      <c r="E80" s="7"/>
      <c r="F80" s="7" t="s">
        <v>241</v>
      </c>
      <c r="G80" s="7">
        <v>1</v>
      </c>
      <c r="H80" s="7" t="s">
        <v>45</v>
      </c>
      <c r="I80" s="7">
        <f>(1+0.2)*(2.8+0.3)*G80</f>
        <v>3.72</v>
      </c>
      <c r="J80" s="9"/>
      <c r="K80" s="9"/>
    </row>
    <row r="81" ht="200.15" customHeight="1" spans="1:11">
      <c r="A81" s="7">
        <v>79</v>
      </c>
      <c r="B81" s="7" t="s">
        <v>83</v>
      </c>
      <c r="C81" s="7" t="s">
        <v>243</v>
      </c>
      <c r="D81" s="7" t="s">
        <v>146</v>
      </c>
      <c r="E81" s="7"/>
      <c r="F81" s="7" t="s">
        <v>241</v>
      </c>
      <c r="G81" s="7">
        <v>1</v>
      </c>
      <c r="H81" s="7" t="s">
        <v>45</v>
      </c>
      <c r="I81" s="7">
        <f>(1+0.2)*(2.8+0.3)*G81</f>
        <v>3.72</v>
      </c>
      <c r="J81" s="9"/>
      <c r="K81" s="9"/>
    </row>
    <row r="82" ht="200.15" customHeight="1" spans="1:11">
      <c r="A82" s="7">
        <v>80</v>
      </c>
      <c r="B82" s="7" t="s">
        <v>83</v>
      </c>
      <c r="C82" s="7" t="s">
        <v>244</v>
      </c>
      <c r="D82" s="7" t="s">
        <v>146</v>
      </c>
      <c r="E82" s="7"/>
      <c r="F82" s="7" t="s">
        <v>241</v>
      </c>
      <c r="G82" s="7">
        <v>1</v>
      </c>
      <c r="H82" s="7" t="s">
        <v>45</v>
      </c>
      <c r="I82" s="7">
        <f>(1+0.2)*(2.8+0.3)*G82</f>
        <v>3.72</v>
      </c>
      <c r="J82" s="9"/>
      <c r="K82" s="9"/>
    </row>
    <row r="83" ht="200.15" customHeight="1" spans="1:11">
      <c r="A83" s="7">
        <v>81</v>
      </c>
      <c r="B83" s="7" t="s">
        <v>92</v>
      </c>
      <c r="C83" s="7" t="s">
        <v>171</v>
      </c>
      <c r="D83" s="7" t="s">
        <v>146</v>
      </c>
      <c r="E83" s="7"/>
      <c r="F83" s="7" t="s">
        <v>205</v>
      </c>
      <c r="G83" s="7">
        <v>1</v>
      </c>
      <c r="H83" s="7" t="s">
        <v>45</v>
      </c>
      <c r="I83" s="7">
        <f>(2.8+0.2)*(2.8+0.3)*G83</f>
        <v>9.3</v>
      </c>
      <c r="J83" s="9"/>
      <c r="K83" s="9"/>
    </row>
    <row r="84" ht="200.15" customHeight="1" spans="1:11">
      <c r="A84" s="7">
        <v>82</v>
      </c>
      <c r="B84" s="7" t="s">
        <v>92</v>
      </c>
      <c r="C84" s="7" t="s">
        <v>245</v>
      </c>
      <c r="D84" s="7" t="s">
        <v>146</v>
      </c>
      <c r="E84" s="7"/>
      <c r="F84" s="7" t="s">
        <v>246</v>
      </c>
      <c r="G84" s="7">
        <v>1</v>
      </c>
      <c r="H84" s="7" t="s">
        <v>45</v>
      </c>
      <c r="I84" s="7">
        <f>(4.1+0.2)*(2.8+0.3)*G84</f>
        <v>13.33</v>
      </c>
      <c r="J84" s="9"/>
      <c r="K84" s="9"/>
    </row>
    <row r="85" ht="200.15" customHeight="1" spans="1:11">
      <c r="A85" s="7">
        <v>83</v>
      </c>
      <c r="B85" s="7" t="s">
        <v>92</v>
      </c>
      <c r="C85" s="7" t="s">
        <v>151</v>
      </c>
      <c r="D85" s="7" t="s">
        <v>146</v>
      </c>
      <c r="E85" s="7"/>
      <c r="F85" s="7" t="s">
        <v>247</v>
      </c>
      <c r="G85" s="7">
        <v>1</v>
      </c>
      <c r="H85" s="7" t="s">
        <v>45</v>
      </c>
      <c r="I85" s="7">
        <f>(4.5+0.2)*(2.8+0.3)*G85</f>
        <v>14.57</v>
      </c>
      <c r="J85" s="9"/>
      <c r="K85" s="9"/>
    </row>
    <row r="86" ht="200.15" customHeight="1" spans="1:11">
      <c r="A86" s="7">
        <v>84</v>
      </c>
      <c r="B86" s="7" t="s">
        <v>92</v>
      </c>
      <c r="C86" s="7" t="s">
        <v>229</v>
      </c>
      <c r="D86" s="7" t="s">
        <v>146</v>
      </c>
      <c r="E86" s="7"/>
      <c r="F86" s="7" t="s">
        <v>197</v>
      </c>
      <c r="G86" s="7">
        <v>1</v>
      </c>
      <c r="H86" s="7" t="s">
        <v>45</v>
      </c>
      <c r="I86" s="7">
        <f>(3.6+0.2)*(2.8+0.3)*G86</f>
        <v>11.78</v>
      </c>
      <c r="J86" s="9"/>
      <c r="K86" s="9"/>
    </row>
    <row r="87" ht="200.15" customHeight="1" spans="1:11">
      <c r="A87" s="7">
        <v>85</v>
      </c>
      <c r="B87" s="7" t="s">
        <v>92</v>
      </c>
      <c r="C87" s="7" t="s">
        <v>174</v>
      </c>
      <c r="D87" s="7" t="s">
        <v>146</v>
      </c>
      <c r="E87" s="7"/>
      <c r="F87" s="7" t="s">
        <v>140</v>
      </c>
      <c r="G87" s="7">
        <v>1</v>
      </c>
      <c r="H87" s="7" t="s">
        <v>45</v>
      </c>
      <c r="I87" s="7">
        <f>(4+0.2)*(2.8+0.3)*G87</f>
        <v>13.02</v>
      </c>
      <c r="J87" s="9"/>
      <c r="K87" s="9"/>
    </row>
    <row r="88" ht="200.15" customHeight="1" spans="1:11">
      <c r="A88" s="7">
        <v>86</v>
      </c>
      <c r="B88" s="7" t="s">
        <v>92</v>
      </c>
      <c r="C88" s="7" t="s">
        <v>230</v>
      </c>
      <c r="D88" s="7" t="s">
        <v>146</v>
      </c>
      <c r="E88" s="7"/>
      <c r="F88" s="7" t="s">
        <v>188</v>
      </c>
      <c r="G88" s="7">
        <v>2</v>
      </c>
      <c r="H88" s="7" t="s">
        <v>45</v>
      </c>
      <c r="I88" s="7">
        <f>(2.2+0.2)*(2.8+0.3)*G88</f>
        <v>14.88</v>
      </c>
      <c r="J88" s="9"/>
      <c r="K88" s="9"/>
    </row>
    <row r="89" ht="200.15" customHeight="1" spans="1:11">
      <c r="A89" s="7">
        <v>87</v>
      </c>
      <c r="B89" s="7" t="s">
        <v>92</v>
      </c>
      <c r="C89" s="7" t="s">
        <v>231</v>
      </c>
      <c r="D89" s="7" t="s">
        <v>146</v>
      </c>
      <c r="E89" s="7"/>
      <c r="F89" s="7" t="s">
        <v>140</v>
      </c>
      <c r="G89" s="7">
        <v>1</v>
      </c>
      <c r="H89" s="7" t="s">
        <v>45</v>
      </c>
      <c r="I89" s="7">
        <f>(4+0.2)*(2.8+0.3)*G89</f>
        <v>13.02</v>
      </c>
      <c r="J89" s="9"/>
      <c r="K89" s="9"/>
    </row>
    <row r="90" ht="200.15" customHeight="1" spans="1:11">
      <c r="A90" s="7">
        <v>88</v>
      </c>
      <c r="B90" s="7" t="s">
        <v>92</v>
      </c>
      <c r="C90" s="7" t="s">
        <v>232</v>
      </c>
      <c r="D90" s="7" t="s">
        <v>146</v>
      </c>
      <c r="E90" s="7"/>
      <c r="F90" s="7" t="s">
        <v>140</v>
      </c>
      <c r="G90" s="7">
        <v>1</v>
      </c>
      <c r="H90" s="7" t="s">
        <v>45</v>
      </c>
      <c r="I90" s="7">
        <f>(4+0.2)*(2.8+0.3)*G90</f>
        <v>13.02</v>
      </c>
      <c r="J90" s="9"/>
      <c r="K90" s="9"/>
    </row>
    <row r="91" ht="200.15" customHeight="1" spans="1:11">
      <c r="A91" s="7">
        <v>89</v>
      </c>
      <c r="B91" s="7" t="s">
        <v>92</v>
      </c>
      <c r="C91" s="7" t="s">
        <v>233</v>
      </c>
      <c r="D91" s="7" t="s">
        <v>146</v>
      </c>
      <c r="E91" s="7"/>
      <c r="F91" s="7" t="s">
        <v>140</v>
      </c>
      <c r="G91" s="7">
        <v>1</v>
      </c>
      <c r="H91" s="7" t="s">
        <v>45</v>
      </c>
      <c r="I91" s="7">
        <f>(4+0.2)*(2.8+0.3)*G91</f>
        <v>13.02</v>
      </c>
      <c r="J91" s="9"/>
      <c r="K91" s="9"/>
    </row>
    <row r="92" ht="200.15" customHeight="1" spans="1:11">
      <c r="A92" s="7">
        <v>90</v>
      </c>
      <c r="B92" s="7" t="s">
        <v>92</v>
      </c>
      <c r="C92" s="7" t="s">
        <v>248</v>
      </c>
      <c r="D92" s="7" t="s">
        <v>146</v>
      </c>
      <c r="E92" s="7"/>
      <c r="F92" s="7" t="s">
        <v>235</v>
      </c>
      <c r="G92" s="7">
        <v>1</v>
      </c>
      <c r="H92" s="7" t="s">
        <v>45</v>
      </c>
      <c r="I92" s="7">
        <f>(8.4+0.2)*(2.8+0.3)*G92</f>
        <v>26.66</v>
      </c>
      <c r="J92" s="9"/>
      <c r="K92" s="9"/>
    </row>
    <row r="93" ht="200.15" customHeight="1" spans="1:11">
      <c r="A93" s="7">
        <v>91</v>
      </c>
      <c r="B93" s="7" t="s">
        <v>92</v>
      </c>
      <c r="C93" s="7" t="s">
        <v>238</v>
      </c>
      <c r="D93" s="7" t="s">
        <v>146</v>
      </c>
      <c r="E93" s="7"/>
      <c r="F93" s="7" t="s">
        <v>249</v>
      </c>
      <c r="G93" s="7">
        <v>1</v>
      </c>
      <c r="H93" s="7" t="s">
        <v>45</v>
      </c>
      <c r="I93" s="7">
        <f>(6.7+0.2)*(2.8+0.3)*G93</f>
        <v>21.39</v>
      </c>
      <c r="J93" s="9"/>
      <c r="K93" s="9"/>
    </row>
    <row r="94" ht="200.15" customHeight="1" spans="1:11">
      <c r="A94" s="7">
        <v>92</v>
      </c>
      <c r="B94" s="7" t="s">
        <v>92</v>
      </c>
      <c r="C94" s="7" t="s">
        <v>240</v>
      </c>
      <c r="D94" s="7" t="s">
        <v>146</v>
      </c>
      <c r="E94" s="7"/>
      <c r="F94" s="7" t="s">
        <v>241</v>
      </c>
      <c r="G94" s="7">
        <v>1</v>
      </c>
      <c r="H94" s="7" t="s">
        <v>45</v>
      </c>
      <c r="I94" s="7">
        <f>(1+0.2)*(2.8+0.3)*G94</f>
        <v>3.72</v>
      </c>
      <c r="J94" s="9"/>
      <c r="K94" s="9"/>
    </row>
    <row r="95" ht="200.15" customHeight="1" spans="1:11">
      <c r="A95" s="7">
        <v>93</v>
      </c>
      <c r="B95" s="7" t="s">
        <v>92</v>
      </c>
      <c r="C95" s="7" t="s">
        <v>242</v>
      </c>
      <c r="D95" s="7" t="s">
        <v>146</v>
      </c>
      <c r="E95" s="7"/>
      <c r="F95" s="7" t="s">
        <v>241</v>
      </c>
      <c r="G95" s="7">
        <v>1</v>
      </c>
      <c r="H95" s="7" t="s">
        <v>45</v>
      </c>
      <c r="I95" s="7">
        <f>(1+0.2)*(2.8+0.3)*G95</f>
        <v>3.72</v>
      </c>
      <c r="J95" s="9"/>
      <c r="K95" s="9"/>
    </row>
    <row r="96" ht="200.15" customHeight="1" spans="1:11">
      <c r="A96" s="7">
        <v>94</v>
      </c>
      <c r="B96" s="7" t="s">
        <v>92</v>
      </c>
      <c r="C96" s="7" t="s">
        <v>243</v>
      </c>
      <c r="D96" s="7" t="s">
        <v>146</v>
      </c>
      <c r="E96" s="7"/>
      <c r="F96" s="7" t="s">
        <v>241</v>
      </c>
      <c r="G96" s="7">
        <v>1</v>
      </c>
      <c r="H96" s="7" t="s">
        <v>45</v>
      </c>
      <c r="I96" s="7">
        <f>(1+0.2)*(2.8+0.3)*G96</f>
        <v>3.72</v>
      </c>
      <c r="J96" s="9"/>
      <c r="K96" s="9"/>
    </row>
    <row r="97" ht="200.15" customHeight="1" spans="1:11">
      <c r="A97" s="7">
        <v>95</v>
      </c>
      <c r="B97" s="7" t="s">
        <v>92</v>
      </c>
      <c r="C97" s="7" t="s">
        <v>244</v>
      </c>
      <c r="D97" s="7" t="s">
        <v>146</v>
      </c>
      <c r="E97" s="7"/>
      <c r="F97" s="7" t="s">
        <v>241</v>
      </c>
      <c r="G97" s="7">
        <v>1</v>
      </c>
      <c r="H97" s="7" t="s">
        <v>45</v>
      </c>
      <c r="I97" s="7">
        <f>(1+0.2)*(2.8+0.3)*G97</f>
        <v>3.72</v>
      </c>
      <c r="J97" s="9"/>
      <c r="K97" s="9"/>
    </row>
    <row r="98" ht="200.15" customHeight="1" spans="1:11">
      <c r="A98" s="7">
        <v>96</v>
      </c>
      <c r="B98" s="7" t="s">
        <v>56</v>
      </c>
      <c r="C98" s="7" t="s">
        <v>250</v>
      </c>
      <c r="D98" s="7" t="s">
        <v>146</v>
      </c>
      <c r="E98" s="7"/>
      <c r="F98" s="7" t="s">
        <v>251</v>
      </c>
      <c r="G98" s="7">
        <v>1</v>
      </c>
      <c r="H98" s="7" t="s">
        <v>45</v>
      </c>
      <c r="I98" s="7">
        <f>(1+0.2)*(2.8+0.3)*G98</f>
        <v>3.72</v>
      </c>
      <c r="J98" s="9"/>
      <c r="K98" s="9"/>
    </row>
    <row r="99" ht="200.15" customHeight="1" spans="1:11">
      <c r="A99" s="7">
        <v>97</v>
      </c>
      <c r="B99" s="7" t="s">
        <v>56</v>
      </c>
      <c r="C99" s="7" t="s">
        <v>96</v>
      </c>
      <c r="D99" s="7" t="s">
        <v>146</v>
      </c>
      <c r="E99" s="7"/>
      <c r="F99" s="7" t="s">
        <v>252</v>
      </c>
      <c r="G99" s="7">
        <v>1</v>
      </c>
      <c r="H99" s="7" t="s">
        <v>45</v>
      </c>
      <c r="I99" s="7">
        <f>(1.85+0.2+1.25+0.2)*(2.8+0.3)*G99</f>
        <v>10.85</v>
      </c>
      <c r="J99" s="9"/>
      <c r="K99" s="9"/>
    </row>
    <row r="100" ht="200.15" customHeight="1" spans="1:11">
      <c r="A100" s="7">
        <v>98</v>
      </c>
      <c r="B100" s="7" t="s">
        <v>56</v>
      </c>
      <c r="C100" s="7" t="s">
        <v>59</v>
      </c>
      <c r="D100" s="7" t="s">
        <v>146</v>
      </c>
      <c r="E100" s="7"/>
      <c r="F100" s="7" t="s">
        <v>114</v>
      </c>
      <c r="G100" s="7">
        <v>1</v>
      </c>
      <c r="H100" s="7" t="s">
        <v>45</v>
      </c>
      <c r="I100" s="7">
        <f>(3+0.2)*(2.8+0.3)*G100</f>
        <v>9.92</v>
      </c>
      <c r="J100" s="9"/>
      <c r="K100" s="9"/>
    </row>
    <row r="101" ht="200.15" customHeight="1" spans="1:11">
      <c r="A101" s="7">
        <v>99</v>
      </c>
      <c r="B101" s="7" t="s">
        <v>56</v>
      </c>
      <c r="C101" s="7" t="s">
        <v>253</v>
      </c>
      <c r="D101" s="7" t="s">
        <v>146</v>
      </c>
      <c r="E101" s="7"/>
      <c r="F101" s="7" t="s">
        <v>90</v>
      </c>
      <c r="G101" s="7">
        <v>1</v>
      </c>
      <c r="H101" s="7" t="s">
        <v>45</v>
      </c>
      <c r="I101" s="7">
        <f>(3.1+0.2)*(2.8+0.3)*G101</f>
        <v>10.23</v>
      </c>
      <c r="J101" s="9"/>
      <c r="K101" s="9"/>
    </row>
    <row r="102" ht="200.15" customHeight="1" spans="1:11">
      <c r="A102" s="7">
        <v>100</v>
      </c>
      <c r="B102" s="7" t="s">
        <v>56</v>
      </c>
      <c r="C102" s="7" t="s">
        <v>254</v>
      </c>
      <c r="D102" s="7" t="s">
        <v>146</v>
      </c>
      <c r="E102" s="7"/>
      <c r="F102" s="7" t="s">
        <v>90</v>
      </c>
      <c r="G102" s="7">
        <v>1</v>
      </c>
      <c r="H102" s="7" t="s">
        <v>45</v>
      </c>
      <c r="I102" s="7">
        <f>(3.1+0.2)*(2.8+0.3)*G102</f>
        <v>10.23</v>
      </c>
      <c r="J102" s="9"/>
      <c r="K102" s="9"/>
    </row>
    <row r="103" ht="200.15" customHeight="1" spans="1:11">
      <c r="A103" s="7">
        <v>101</v>
      </c>
      <c r="B103" s="7" t="s">
        <v>56</v>
      </c>
      <c r="C103" s="7" t="s">
        <v>171</v>
      </c>
      <c r="D103" s="7" t="s">
        <v>146</v>
      </c>
      <c r="E103" s="7"/>
      <c r="F103" s="7" t="s">
        <v>205</v>
      </c>
      <c r="G103" s="7">
        <v>2</v>
      </c>
      <c r="H103" s="7" t="s">
        <v>45</v>
      </c>
      <c r="I103" s="7">
        <f>(2.8+0.2)*(2.8+0.3)*G103</f>
        <v>18.6</v>
      </c>
      <c r="J103" s="9"/>
      <c r="K103" s="9"/>
    </row>
    <row r="104" ht="200.15" customHeight="1" spans="1:11">
      <c r="A104" s="7">
        <v>102</v>
      </c>
      <c r="B104" s="7" t="s">
        <v>56</v>
      </c>
      <c r="C104" s="7" t="s">
        <v>238</v>
      </c>
      <c r="D104" s="7" t="s">
        <v>146</v>
      </c>
      <c r="E104" s="7"/>
      <c r="F104" s="7" t="s">
        <v>239</v>
      </c>
      <c r="G104" s="7">
        <v>2</v>
      </c>
      <c r="H104" s="7" t="s">
        <v>45</v>
      </c>
      <c r="I104" s="7">
        <f>(1.8+0.2)*(2.8+0.3)*G104</f>
        <v>12.4</v>
      </c>
      <c r="J104" s="9"/>
      <c r="K104" s="9"/>
    </row>
    <row r="105" ht="200.15" customHeight="1" spans="1:11">
      <c r="A105" s="7">
        <v>103</v>
      </c>
      <c r="B105" s="7" t="s">
        <v>56</v>
      </c>
      <c r="C105" s="7" t="s">
        <v>131</v>
      </c>
      <c r="D105" s="7" t="s">
        <v>146</v>
      </c>
      <c r="E105" s="7"/>
      <c r="F105" s="7" t="s">
        <v>197</v>
      </c>
      <c r="G105" s="7">
        <v>1</v>
      </c>
      <c r="H105" s="7" t="s">
        <v>45</v>
      </c>
      <c r="I105" s="7">
        <f>(3.6+0.2)*(2.8+0.3)*G105</f>
        <v>11.78</v>
      </c>
      <c r="J105" s="9"/>
      <c r="K105" s="9"/>
    </row>
    <row r="106" ht="200.15" customHeight="1" spans="1:11">
      <c r="A106" s="7">
        <v>104</v>
      </c>
      <c r="B106" s="7" t="s">
        <v>56</v>
      </c>
      <c r="C106" s="7" t="s">
        <v>255</v>
      </c>
      <c r="D106" s="7" t="s">
        <v>146</v>
      </c>
      <c r="E106" s="7"/>
      <c r="F106" s="7" t="s">
        <v>107</v>
      </c>
      <c r="G106" s="7">
        <v>1</v>
      </c>
      <c r="H106" s="7" t="s">
        <v>45</v>
      </c>
      <c r="I106" s="7">
        <f>(2.3+0.2)*(2.8+0.3)*G106</f>
        <v>7.75</v>
      </c>
      <c r="J106" s="9"/>
      <c r="K106" s="9"/>
    </row>
    <row r="107" ht="200.15" customHeight="1" spans="1:11">
      <c r="A107" s="7">
        <v>105</v>
      </c>
      <c r="B107" s="7" t="s">
        <v>56</v>
      </c>
      <c r="C107" s="7" t="s">
        <v>256</v>
      </c>
      <c r="D107" s="7" t="s">
        <v>146</v>
      </c>
      <c r="E107" s="7"/>
      <c r="F107" s="7" t="s">
        <v>257</v>
      </c>
      <c r="G107" s="7">
        <v>2</v>
      </c>
      <c r="H107" s="7" t="s">
        <v>45</v>
      </c>
      <c r="I107" s="7">
        <f>(2.6+0.2)*(2.3+0.3)*G107</f>
        <v>14.56</v>
      </c>
      <c r="J107" s="9"/>
      <c r="K107" s="9"/>
    </row>
    <row r="108" ht="200.15" customHeight="1" spans="1:11">
      <c r="A108" s="7">
        <v>106</v>
      </c>
      <c r="B108" s="7" t="s">
        <v>56</v>
      </c>
      <c r="C108" s="7" t="s">
        <v>258</v>
      </c>
      <c r="D108" s="7" t="s">
        <v>146</v>
      </c>
      <c r="E108" s="7"/>
      <c r="F108" s="7" t="s">
        <v>107</v>
      </c>
      <c r="G108" s="7">
        <v>1</v>
      </c>
      <c r="H108" s="7" t="s">
        <v>45</v>
      </c>
      <c r="I108" s="7">
        <f>(2.3+0.2)*(2.8+0.3)*G108</f>
        <v>7.75</v>
      </c>
      <c r="J108" s="9"/>
      <c r="K108" s="9"/>
    </row>
    <row r="109" ht="200.15" customHeight="1" spans="1:11">
      <c r="A109" s="7">
        <v>107</v>
      </c>
      <c r="B109" s="7" t="s">
        <v>56</v>
      </c>
      <c r="C109" s="7" t="s">
        <v>259</v>
      </c>
      <c r="D109" s="7" t="s">
        <v>146</v>
      </c>
      <c r="E109" s="7"/>
      <c r="F109" s="7" t="s">
        <v>260</v>
      </c>
      <c r="G109" s="7">
        <v>2</v>
      </c>
      <c r="H109" s="7" t="s">
        <v>45</v>
      </c>
      <c r="I109" s="7">
        <f>(2.6+0.2+2.3+0.2)*(2.8+0.3)*G109</f>
        <v>32.86</v>
      </c>
      <c r="J109" s="9"/>
      <c r="K109" s="9"/>
    </row>
    <row r="110" ht="200.15" customHeight="1" spans="1:11">
      <c r="A110" s="7">
        <v>108</v>
      </c>
      <c r="B110" s="7" t="s">
        <v>56</v>
      </c>
      <c r="C110" s="7" t="s">
        <v>261</v>
      </c>
      <c r="D110" s="7" t="s">
        <v>146</v>
      </c>
      <c r="E110" s="7"/>
      <c r="F110" s="7" t="s">
        <v>95</v>
      </c>
      <c r="G110" s="7">
        <v>1</v>
      </c>
      <c r="H110" s="7" t="s">
        <v>45</v>
      </c>
      <c r="I110" s="7">
        <f>(3.2+0.2)*(2.8+0.3)*G110</f>
        <v>10.54</v>
      </c>
      <c r="J110" s="9"/>
      <c r="K110" s="9"/>
    </row>
    <row r="111" ht="200.15" customHeight="1" spans="1:11">
      <c r="A111" s="7">
        <v>109</v>
      </c>
      <c r="B111" s="7" t="s">
        <v>56</v>
      </c>
      <c r="C111" s="7" t="s">
        <v>174</v>
      </c>
      <c r="D111" s="7" t="s">
        <v>146</v>
      </c>
      <c r="E111" s="7"/>
      <c r="F111" s="7" t="s">
        <v>95</v>
      </c>
      <c r="G111" s="7">
        <v>1</v>
      </c>
      <c r="H111" s="7" t="s">
        <v>45</v>
      </c>
      <c r="I111" s="7">
        <f>(3.2+0.2)*(2.8+0.3)*G111</f>
        <v>10.54</v>
      </c>
      <c r="J111" s="9"/>
      <c r="K111" s="9"/>
    </row>
    <row r="112" ht="200.15" customHeight="1" spans="1:11">
      <c r="A112" s="7">
        <v>110</v>
      </c>
      <c r="B112" s="7" t="s">
        <v>56</v>
      </c>
      <c r="C112" s="7" t="s">
        <v>186</v>
      </c>
      <c r="D112" s="7" t="s">
        <v>146</v>
      </c>
      <c r="E112" s="7"/>
      <c r="F112" s="7" t="s">
        <v>112</v>
      </c>
      <c r="G112" s="7">
        <v>1</v>
      </c>
      <c r="H112" s="7" t="s">
        <v>45</v>
      </c>
      <c r="I112" s="7">
        <f>(5.2+0.2)*(2.8+0.3)*G112</f>
        <v>16.74</v>
      </c>
      <c r="J112" s="9"/>
      <c r="K112" s="9"/>
    </row>
    <row r="113" ht="200.15" customHeight="1" spans="1:11">
      <c r="A113" s="7">
        <v>111</v>
      </c>
      <c r="B113" s="7" t="s">
        <v>56</v>
      </c>
      <c r="C113" s="7" t="s">
        <v>262</v>
      </c>
      <c r="D113" s="7" t="s">
        <v>146</v>
      </c>
      <c r="E113" s="7"/>
      <c r="F113" s="7" t="s">
        <v>263</v>
      </c>
      <c r="G113" s="7">
        <v>1</v>
      </c>
      <c r="H113" s="7" t="s">
        <v>45</v>
      </c>
      <c r="I113" s="7">
        <f>(6.4+0.2)*(2.8+0.3)*G113</f>
        <v>20.46</v>
      </c>
      <c r="J113" s="9"/>
      <c r="K113" s="9"/>
    </row>
    <row r="114" ht="200.15" customHeight="1" spans="1:11">
      <c r="A114" s="7">
        <v>112</v>
      </c>
      <c r="B114" s="7" t="s">
        <v>56</v>
      </c>
      <c r="C114" s="7" t="s">
        <v>264</v>
      </c>
      <c r="D114" s="7" t="s">
        <v>146</v>
      </c>
      <c r="E114" s="7"/>
      <c r="F114" s="7" t="s">
        <v>265</v>
      </c>
      <c r="G114" s="7">
        <v>3</v>
      </c>
      <c r="H114" s="7" t="s">
        <v>45</v>
      </c>
      <c r="I114" s="7">
        <f>(2.9+0.2+2.05+0.2+2.45+0.2)*(2.8+0.3)*G114</f>
        <v>74.4</v>
      </c>
      <c r="J114" s="9"/>
      <c r="K114" s="9"/>
    </row>
    <row r="115" ht="200.15" customHeight="1" spans="1:11">
      <c r="A115" s="7">
        <v>113</v>
      </c>
      <c r="B115" s="7" t="s">
        <v>56</v>
      </c>
      <c r="C115" s="7" t="s">
        <v>231</v>
      </c>
      <c r="D115" s="7" t="s">
        <v>146</v>
      </c>
      <c r="E115" s="7"/>
      <c r="F115" s="7" t="s">
        <v>80</v>
      </c>
      <c r="G115" s="7">
        <v>1</v>
      </c>
      <c r="H115" s="7" t="s">
        <v>45</v>
      </c>
      <c r="I115" s="7">
        <f>(1.05+0.2)*(1.8+0.2)*G115</f>
        <v>2.5</v>
      </c>
      <c r="J115" s="9"/>
      <c r="K115" s="9"/>
    </row>
    <row r="116" ht="200.15" customHeight="1" spans="1:11">
      <c r="A116" s="7">
        <v>114</v>
      </c>
      <c r="B116" s="7" t="s">
        <v>56</v>
      </c>
      <c r="C116" s="7" t="s">
        <v>232</v>
      </c>
      <c r="D116" s="7" t="s">
        <v>146</v>
      </c>
      <c r="E116" s="7"/>
      <c r="F116" s="7" t="s">
        <v>80</v>
      </c>
      <c r="G116" s="7">
        <v>1</v>
      </c>
      <c r="H116" s="7" t="s">
        <v>45</v>
      </c>
      <c r="I116" s="7">
        <f>(1.05+0.2)*(1.8+0.2)*G116</f>
        <v>2.5</v>
      </c>
      <c r="J116" s="9"/>
      <c r="K116" s="9"/>
    </row>
    <row r="117" ht="200.15" customHeight="1" spans="1:11">
      <c r="A117" s="7">
        <v>115</v>
      </c>
      <c r="B117" s="7" t="s">
        <v>56</v>
      </c>
      <c r="C117" s="7" t="s">
        <v>242</v>
      </c>
      <c r="D117" s="7" t="s">
        <v>146</v>
      </c>
      <c r="E117" s="7"/>
      <c r="F117" s="7" t="s">
        <v>241</v>
      </c>
      <c r="G117" s="7">
        <v>1</v>
      </c>
      <c r="H117" s="7" t="s">
        <v>45</v>
      </c>
      <c r="I117" s="7">
        <f>(1+0.2)*(2.8+0.3)*G117</f>
        <v>3.72</v>
      </c>
      <c r="J117" s="9"/>
      <c r="K117" s="9"/>
    </row>
    <row r="118" ht="200.15" customHeight="1" spans="1:11">
      <c r="A118" s="7">
        <v>116</v>
      </c>
      <c r="B118" s="7" t="s">
        <v>56</v>
      </c>
      <c r="C118" s="7" t="s">
        <v>243</v>
      </c>
      <c r="D118" s="7" t="s">
        <v>146</v>
      </c>
      <c r="E118" s="7"/>
      <c r="F118" s="7" t="s">
        <v>241</v>
      </c>
      <c r="G118" s="7">
        <v>1</v>
      </c>
      <c r="H118" s="7" t="s">
        <v>45</v>
      </c>
      <c r="I118" s="7">
        <f>(1+0.2)*(2.8+0.3)*G118</f>
        <v>3.72</v>
      </c>
      <c r="J118" s="9"/>
      <c r="K118" s="9"/>
    </row>
    <row r="119" ht="200.15" customHeight="1" spans="1:11">
      <c r="A119" s="7">
        <v>117</v>
      </c>
      <c r="B119" s="7" t="s">
        <v>56</v>
      </c>
      <c r="C119" s="7" t="s">
        <v>244</v>
      </c>
      <c r="D119" s="7" t="s">
        <v>146</v>
      </c>
      <c r="E119" s="7"/>
      <c r="F119" s="7" t="s">
        <v>241</v>
      </c>
      <c r="G119" s="7">
        <v>1</v>
      </c>
      <c r="H119" s="7" t="s">
        <v>45</v>
      </c>
      <c r="I119" s="7">
        <f>(1+0.2)*(2.8+0.3)*G119</f>
        <v>3.72</v>
      </c>
      <c r="J119" s="9"/>
      <c r="K119" s="9"/>
    </row>
    <row r="120" ht="200.15" customHeight="1" spans="1:11">
      <c r="A120" s="7">
        <v>118</v>
      </c>
      <c r="B120" s="7" t="s">
        <v>61</v>
      </c>
      <c r="C120" s="7" t="s">
        <v>266</v>
      </c>
      <c r="D120" s="7" t="s">
        <v>146</v>
      </c>
      <c r="E120" s="7"/>
      <c r="F120" s="7" t="s">
        <v>267</v>
      </c>
      <c r="G120" s="7">
        <v>2</v>
      </c>
      <c r="H120" s="7" t="s">
        <v>45</v>
      </c>
      <c r="I120" s="7">
        <f>(2.25+0.2+4.25+0.2)*(2.8+0.3)*G120</f>
        <v>42.78</v>
      </c>
      <c r="J120" s="9"/>
      <c r="K120" s="9"/>
    </row>
    <row r="121" ht="200.15" customHeight="1" spans="1:11">
      <c r="A121" s="7">
        <v>119</v>
      </c>
      <c r="B121" s="7" t="s">
        <v>61</v>
      </c>
      <c r="C121" s="7" t="s">
        <v>59</v>
      </c>
      <c r="D121" s="7" t="s">
        <v>146</v>
      </c>
      <c r="E121" s="7"/>
      <c r="F121" s="7" t="s">
        <v>268</v>
      </c>
      <c r="G121" s="7">
        <v>1</v>
      </c>
      <c r="H121" s="7" t="s">
        <v>45</v>
      </c>
      <c r="I121" s="7">
        <f>(8.2+0.5)*(2.8+0.3)*G121</f>
        <v>26.97</v>
      </c>
      <c r="J121" s="9"/>
      <c r="K121" s="9"/>
    </row>
    <row r="122" ht="200.15" customHeight="1" spans="1:11">
      <c r="A122" s="7">
        <v>120</v>
      </c>
      <c r="B122" s="7" t="s">
        <v>61</v>
      </c>
      <c r="C122" s="7" t="s">
        <v>253</v>
      </c>
      <c r="D122" s="7" t="s">
        <v>146</v>
      </c>
      <c r="E122" s="7"/>
      <c r="F122" s="7" t="s">
        <v>269</v>
      </c>
      <c r="G122" s="7">
        <v>1</v>
      </c>
      <c r="H122" s="7" t="s">
        <v>45</v>
      </c>
      <c r="I122" s="7">
        <f>(1+0.2)*(2.8+0.3)*G122</f>
        <v>3.72</v>
      </c>
      <c r="J122" s="9"/>
      <c r="K122" s="9"/>
    </row>
    <row r="123" ht="200.15" customHeight="1" spans="1:11">
      <c r="A123" s="7">
        <v>121</v>
      </c>
      <c r="B123" s="7" t="s">
        <v>61</v>
      </c>
      <c r="C123" s="7" t="s">
        <v>270</v>
      </c>
      <c r="D123" s="7" t="s">
        <v>146</v>
      </c>
      <c r="E123" s="7"/>
      <c r="F123" s="7" t="s">
        <v>269</v>
      </c>
      <c r="G123" s="7">
        <v>1</v>
      </c>
      <c r="H123" s="7" t="s">
        <v>45</v>
      </c>
      <c r="I123" s="7">
        <f>(1+0.2)*(2.8+0.3)*G123</f>
        <v>3.72</v>
      </c>
      <c r="J123" s="9"/>
      <c r="K123" s="9"/>
    </row>
    <row r="124" ht="200.15" customHeight="1" spans="1:11">
      <c r="A124" s="7">
        <v>122</v>
      </c>
      <c r="B124" s="7" t="s">
        <v>61</v>
      </c>
      <c r="C124" s="7" t="s">
        <v>171</v>
      </c>
      <c r="D124" s="7" t="s">
        <v>146</v>
      </c>
      <c r="E124" s="7"/>
      <c r="F124" s="7" t="s">
        <v>205</v>
      </c>
      <c r="G124" s="7">
        <v>3</v>
      </c>
      <c r="H124" s="7" t="s">
        <v>45</v>
      </c>
      <c r="I124" s="7">
        <f>(2.8+0.2)*(2.8+0.3)*G124</f>
        <v>27.9</v>
      </c>
      <c r="J124" s="9"/>
      <c r="K124" s="9"/>
    </row>
    <row r="125" ht="200.15" customHeight="1" spans="1:11">
      <c r="A125" s="7">
        <v>123</v>
      </c>
      <c r="B125" s="7" t="s">
        <v>61</v>
      </c>
      <c r="C125" s="7" t="s">
        <v>271</v>
      </c>
      <c r="D125" s="7" t="s">
        <v>146</v>
      </c>
      <c r="E125" s="7"/>
      <c r="F125" s="7" t="s">
        <v>197</v>
      </c>
      <c r="G125" s="7">
        <v>1</v>
      </c>
      <c r="H125" s="7" t="s">
        <v>45</v>
      </c>
      <c r="I125" s="7">
        <f>(3.6+0.2)*(2.8+0.3)*G125</f>
        <v>11.78</v>
      </c>
      <c r="J125" s="9"/>
      <c r="K125" s="9"/>
    </row>
    <row r="126" ht="200.15" customHeight="1" spans="1:11">
      <c r="A126" s="7">
        <v>124</v>
      </c>
      <c r="B126" s="7" t="s">
        <v>61</v>
      </c>
      <c r="C126" s="7" t="s">
        <v>272</v>
      </c>
      <c r="D126" s="7" t="s">
        <v>146</v>
      </c>
      <c r="E126" s="7"/>
      <c r="F126" s="7" t="s">
        <v>273</v>
      </c>
      <c r="G126" s="7">
        <v>1</v>
      </c>
      <c r="H126" s="7" t="s">
        <v>45</v>
      </c>
      <c r="I126" s="7">
        <f>(1.7+0.2)*(2.8+0.3)*G126</f>
        <v>5.89</v>
      </c>
      <c r="J126" s="9"/>
      <c r="K126" s="9"/>
    </row>
    <row r="127" ht="200.15" customHeight="1" spans="1:11">
      <c r="A127" s="7">
        <v>125</v>
      </c>
      <c r="B127" s="7" t="s">
        <v>61</v>
      </c>
      <c r="C127" s="7" t="s">
        <v>274</v>
      </c>
      <c r="D127" s="7" t="s">
        <v>146</v>
      </c>
      <c r="E127" s="7"/>
      <c r="F127" s="7" t="s">
        <v>95</v>
      </c>
      <c r="G127" s="7">
        <v>1</v>
      </c>
      <c r="H127" s="7" t="s">
        <v>45</v>
      </c>
      <c r="I127" s="7">
        <f>(3.2+0.2)*(2.8+0.3)*G127</f>
        <v>10.54</v>
      </c>
      <c r="J127" s="9"/>
      <c r="K127" s="9"/>
    </row>
    <row r="128" ht="200.15" customHeight="1" spans="1:11">
      <c r="A128" s="7">
        <v>126</v>
      </c>
      <c r="B128" s="7" t="s">
        <v>61</v>
      </c>
      <c r="C128" s="7" t="s">
        <v>240</v>
      </c>
      <c r="D128" s="7" t="s">
        <v>146</v>
      </c>
      <c r="E128" s="7"/>
      <c r="F128" s="7" t="s">
        <v>188</v>
      </c>
      <c r="G128" s="7">
        <v>1</v>
      </c>
      <c r="H128" s="7" t="s">
        <v>45</v>
      </c>
      <c r="I128" s="7">
        <f>(2.2+0.2)*(2.8+0.3)*G128</f>
        <v>7.44</v>
      </c>
      <c r="J128" s="9"/>
      <c r="K128" s="9"/>
    </row>
    <row r="129" ht="200.15" customHeight="1" spans="1:11">
      <c r="A129" s="7">
        <v>127</v>
      </c>
      <c r="B129" s="7" t="s">
        <v>61</v>
      </c>
      <c r="C129" s="7" t="s">
        <v>174</v>
      </c>
      <c r="D129" s="7" t="s">
        <v>146</v>
      </c>
      <c r="E129" s="7"/>
      <c r="F129" s="7" t="s">
        <v>275</v>
      </c>
      <c r="G129" s="7">
        <v>1</v>
      </c>
      <c r="H129" s="7" t="s">
        <v>45</v>
      </c>
      <c r="I129" s="7">
        <f>(4.6+0.2)*(2.8+0.3)*G129</f>
        <v>14.88</v>
      </c>
      <c r="J129" s="9"/>
      <c r="K129" s="9"/>
    </row>
    <row r="130" ht="200.15" customHeight="1" spans="1:11">
      <c r="A130" s="7">
        <v>128</v>
      </c>
      <c r="B130" s="7" t="s">
        <v>61</v>
      </c>
      <c r="C130" s="7" t="s">
        <v>276</v>
      </c>
      <c r="D130" s="7" t="s">
        <v>146</v>
      </c>
      <c r="E130" s="7"/>
      <c r="F130" s="7" t="s">
        <v>277</v>
      </c>
      <c r="G130" s="7">
        <v>1</v>
      </c>
      <c r="H130" s="7" t="s">
        <v>45</v>
      </c>
      <c r="I130" s="7">
        <f>(5.4+0.2)*(2.8+0.3)*G130</f>
        <v>17.36</v>
      </c>
      <c r="J130" s="9"/>
      <c r="K130" s="9"/>
    </row>
    <row r="131" ht="200.15" customHeight="1" spans="1:11">
      <c r="A131" s="7">
        <v>129</v>
      </c>
      <c r="B131" s="7" t="s">
        <v>61</v>
      </c>
      <c r="C131" s="7" t="s">
        <v>230</v>
      </c>
      <c r="D131" s="7" t="s">
        <v>146</v>
      </c>
      <c r="E131" s="7"/>
      <c r="F131" s="7" t="s">
        <v>278</v>
      </c>
      <c r="G131" s="7">
        <v>1</v>
      </c>
      <c r="H131" s="7" t="s">
        <v>45</v>
      </c>
      <c r="I131" s="7">
        <f>(2.5+0.2)*(2.8+0.3)*G131</f>
        <v>8.37</v>
      </c>
      <c r="J131" s="9"/>
      <c r="K131" s="9"/>
    </row>
    <row r="132" ht="200.15" customHeight="1" spans="1:11">
      <c r="A132" s="7">
        <v>130</v>
      </c>
      <c r="B132" s="7" t="s">
        <v>61</v>
      </c>
      <c r="C132" s="7" t="s">
        <v>262</v>
      </c>
      <c r="D132" s="7" t="s">
        <v>146</v>
      </c>
      <c r="E132" s="7"/>
      <c r="F132" s="7" t="s">
        <v>168</v>
      </c>
      <c r="G132" s="7">
        <v>1</v>
      </c>
      <c r="H132" s="7" t="s">
        <v>45</v>
      </c>
      <c r="I132" s="7">
        <f>(7.6+0.2)*(2.8+0.3)*G132</f>
        <v>24.18</v>
      </c>
      <c r="J132" s="9"/>
      <c r="K132" s="9"/>
    </row>
    <row r="133" ht="200.15" customHeight="1" spans="1:11">
      <c r="A133" s="7">
        <v>131</v>
      </c>
      <c r="B133" s="7" t="s">
        <v>61</v>
      </c>
      <c r="C133" s="7" t="s">
        <v>279</v>
      </c>
      <c r="D133" s="7" t="s">
        <v>146</v>
      </c>
      <c r="E133" s="7"/>
      <c r="F133" s="7" t="s">
        <v>112</v>
      </c>
      <c r="G133" s="7">
        <v>1</v>
      </c>
      <c r="H133" s="7" t="s">
        <v>45</v>
      </c>
      <c r="I133" s="7">
        <f>(5.2+0.2)*(2.8+0.3)*G133</f>
        <v>16.74</v>
      </c>
      <c r="J133" s="9"/>
      <c r="K133" s="9"/>
    </row>
    <row r="134" ht="200.15" customHeight="1" spans="1:11">
      <c r="A134" s="7">
        <v>132</v>
      </c>
      <c r="B134" s="7" t="s">
        <v>61</v>
      </c>
      <c r="C134" s="7" t="s">
        <v>230</v>
      </c>
      <c r="D134" s="7" t="s">
        <v>146</v>
      </c>
      <c r="E134" s="7"/>
      <c r="F134" s="7" t="s">
        <v>278</v>
      </c>
      <c r="G134" s="7">
        <v>1</v>
      </c>
      <c r="H134" s="7" t="s">
        <v>45</v>
      </c>
      <c r="I134" s="7">
        <f>(2.5+0.2)*(2.8+0.3)*G134</f>
        <v>8.37</v>
      </c>
      <c r="J134" s="9"/>
      <c r="K134" s="9"/>
    </row>
    <row r="135" ht="200.15" customHeight="1" spans="1:11">
      <c r="A135" s="7">
        <v>133</v>
      </c>
      <c r="B135" s="7" t="s">
        <v>61</v>
      </c>
      <c r="C135" s="7" t="s">
        <v>280</v>
      </c>
      <c r="D135" s="7" t="s">
        <v>146</v>
      </c>
      <c r="E135" s="7"/>
      <c r="F135" s="7" t="s">
        <v>281</v>
      </c>
      <c r="G135" s="7">
        <v>2</v>
      </c>
      <c r="H135" s="7" t="s">
        <v>45</v>
      </c>
      <c r="I135" s="7">
        <f>(2.6+0.2+2.3+0.2)*(2.8+0.3)*G135</f>
        <v>32.86</v>
      </c>
      <c r="J135" s="9"/>
      <c r="K135" s="9"/>
    </row>
    <row r="136" ht="200.15" customHeight="1" spans="1:11">
      <c r="A136" s="7">
        <v>134</v>
      </c>
      <c r="B136" s="7" t="s">
        <v>61</v>
      </c>
      <c r="C136" s="7" t="s">
        <v>96</v>
      </c>
      <c r="D136" s="7" t="s">
        <v>146</v>
      </c>
      <c r="E136" s="7"/>
      <c r="F136" s="7" t="s">
        <v>282</v>
      </c>
      <c r="G136" s="7">
        <v>1</v>
      </c>
      <c r="H136" s="7" t="s">
        <v>45</v>
      </c>
      <c r="I136" s="7">
        <f>(2.7+0.2+2.2+0.2)*(2.8+0.3)*G136</f>
        <v>16.43</v>
      </c>
      <c r="J136" s="9"/>
      <c r="K136" s="9"/>
    </row>
    <row r="137" ht="200.15" customHeight="1" spans="1:11">
      <c r="A137" s="7">
        <v>135</v>
      </c>
      <c r="B137" s="7" t="s">
        <v>61</v>
      </c>
      <c r="C137" s="7" t="s">
        <v>238</v>
      </c>
      <c r="D137" s="7" t="s">
        <v>146</v>
      </c>
      <c r="E137" s="7"/>
      <c r="F137" s="7" t="s">
        <v>239</v>
      </c>
      <c r="G137" s="7">
        <v>1</v>
      </c>
      <c r="H137" s="7" t="s">
        <v>45</v>
      </c>
      <c r="I137" s="7">
        <f>(1.8+0.2)*(2.8+0.3)*G137</f>
        <v>6.2</v>
      </c>
      <c r="J137" s="9"/>
      <c r="K137" s="9"/>
    </row>
    <row r="138" ht="200.15" customHeight="1" spans="1:11">
      <c r="A138" s="7">
        <v>136</v>
      </c>
      <c r="B138" s="7" t="s">
        <v>61</v>
      </c>
      <c r="C138" s="7" t="s">
        <v>242</v>
      </c>
      <c r="D138" s="7" t="s">
        <v>146</v>
      </c>
      <c r="E138" s="7"/>
      <c r="F138" s="7" t="s">
        <v>241</v>
      </c>
      <c r="G138" s="7">
        <v>1</v>
      </c>
      <c r="H138" s="7" t="s">
        <v>45</v>
      </c>
      <c r="I138" s="7">
        <f>(1+0.2)*(2.8+0.3)*G138</f>
        <v>3.72</v>
      </c>
      <c r="J138" s="9"/>
      <c r="K138" s="9"/>
    </row>
    <row r="139" ht="200.15" customHeight="1" spans="1:11">
      <c r="A139" s="7">
        <v>137</v>
      </c>
      <c r="B139" s="7" t="s">
        <v>61</v>
      </c>
      <c r="C139" s="7" t="s">
        <v>243</v>
      </c>
      <c r="D139" s="7" t="s">
        <v>146</v>
      </c>
      <c r="E139" s="7"/>
      <c r="F139" s="7" t="s">
        <v>241</v>
      </c>
      <c r="G139" s="7">
        <v>1</v>
      </c>
      <c r="H139" s="7" t="s">
        <v>45</v>
      </c>
      <c r="I139" s="7">
        <f>(1+0.2)*(2.8+0.3)*G139</f>
        <v>3.72</v>
      </c>
      <c r="J139" s="9"/>
      <c r="K139" s="9"/>
    </row>
    <row r="140" ht="200.15" customHeight="1" spans="1:11">
      <c r="A140" s="7">
        <v>138</v>
      </c>
      <c r="B140" s="7" t="s">
        <v>61</v>
      </c>
      <c r="C140" s="7" t="s">
        <v>283</v>
      </c>
      <c r="D140" s="7" t="s">
        <v>146</v>
      </c>
      <c r="E140" s="7"/>
      <c r="F140" s="7" t="s">
        <v>241</v>
      </c>
      <c r="G140" s="7">
        <v>1</v>
      </c>
      <c r="H140" s="7" t="s">
        <v>45</v>
      </c>
      <c r="I140" s="7">
        <f>(1+0.2)*(2.8+0.3)*G140</f>
        <v>3.72</v>
      </c>
      <c r="J140" s="9"/>
      <c r="K140" s="9"/>
    </row>
    <row r="141" ht="200.15" customHeight="1" spans="1:11">
      <c r="A141" s="7">
        <v>139</v>
      </c>
      <c r="B141" s="7" t="s">
        <v>64</v>
      </c>
      <c r="C141" s="7" t="s">
        <v>59</v>
      </c>
      <c r="D141" s="7" t="s">
        <v>146</v>
      </c>
      <c r="E141" s="7"/>
      <c r="F141" s="7" t="s">
        <v>268</v>
      </c>
      <c r="G141" s="7">
        <v>2</v>
      </c>
      <c r="H141" s="7" t="s">
        <v>45</v>
      </c>
      <c r="I141" s="7">
        <f>(8.2+0.2)*(2.8+0.3)*G141</f>
        <v>52.08</v>
      </c>
      <c r="J141" s="9"/>
      <c r="K141" s="9"/>
    </row>
    <row r="142" ht="200.15" customHeight="1" spans="1:11">
      <c r="A142" s="7">
        <v>140</v>
      </c>
      <c r="B142" s="7" t="s">
        <v>64</v>
      </c>
      <c r="C142" s="7" t="s">
        <v>171</v>
      </c>
      <c r="D142" s="7" t="s">
        <v>146</v>
      </c>
      <c r="E142" s="7"/>
      <c r="F142" s="7" t="s">
        <v>205</v>
      </c>
      <c r="G142" s="7">
        <v>3</v>
      </c>
      <c r="H142" s="7" t="s">
        <v>45</v>
      </c>
      <c r="I142" s="7">
        <f>(2.8+0.2)*(2.8+0.3)*G142</f>
        <v>27.9</v>
      </c>
      <c r="J142" s="9"/>
      <c r="K142" s="9"/>
    </row>
    <row r="143" ht="200.15" customHeight="1" spans="1:11">
      <c r="A143" s="7">
        <v>141</v>
      </c>
      <c r="B143" s="7" t="s">
        <v>64</v>
      </c>
      <c r="C143" s="7" t="s">
        <v>171</v>
      </c>
      <c r="D143" s="7" t="s">
        <v>146</v>
      </c>
      <c r="E143" s="7"/>
      <c r="F143" s="7" t="s">
        <v>239</v>
      </c>
      <c r="G143" s="7">
        <v>1</v>
      </c>
      <c r="H143" s="7" t="s">
        <v>45</v>
      </c>
      <c r="I143" s="7">
        <f>(1.8+0.2)*(2.8+0.3)*G143</f>
        <v>6.2</v>
      </c>
      <c r="J143" s="9"/>
      <c r="K143" s="9"/>
    </row>
    <row r="144" ht="200.15" customHeight="1" spans="1:11">
      <c r="A144" s="7">
        <v>142</v>
      </c>
      <c r="B144" s="7" t="s">
        <v>64</v>
      </c>
      <c r="C144" s="7" t="s">
        <v>271</v>
      </c>
      <c r="D144" s="7" t="s">
        <v>146</v>
      </c>
      <c r="E144" s="7"/>
      <c r="F144" s="7" t="s">
        <v>197</v>
      </c>
      <c r="G144" s="7">
        <v>1</v>
      </c>
      <c r="H144" s="7" t="s">
        <v>45</v>
      </c>
      <c r="I144" s="7">
        <f>(3.6+0.2)*(2.8+0.3)*G144</f>
        <v>11.78</v>
      </c>
      <c r="J144" s="9"/>
      <c r="K144" s="9"/>
    </row>
    <row r="145" ht="200.15" customHeight="1" spans="1:11">
      <c r="A145" s="7">
        <v>143</v>
      </c>
      <c r="B145" s="7" t="s">
        <v>64</v>
      </c>
      <c r="C145" s="7" t="s">
        <v>270</v>
      </c>
      <c r="D145" s="7" t="s">
        <v>146</v>
      </c>
      <c r="E145" s="7"/>
      <c r="F145" s="7" t="s">
        <v>269</v>
      </c>
      <c r="G145" s="7">
        <v>1</v>
      </c>
      <c r="H145" s="7" t="s">
        <v>45</v>
      </c>
      <c r="I145" s="7">
        <f>(1+0.2)*(2.8+0.3)*G145</f>
        <v>3.72</v>
      </c>
      <c r="J145" s="9"/>
      <c r="K145" s="9"/>
    </row>
    <row r="146" ht="200.15" customHeight="1" spans="1:11">
      <c r="A146" s="7">
        <v>144</v>
      </c>
      <c r="B146" s="7" t="s">
        <v>64</v>
      </c>
      <c r="C146" s="7" t="s">
        <v>272</v>
      </c>
      <c r="D146" s="7" t="s">
        <v>146</v>
      </c>
      <c r="E146" s="7"/>
      <c r="F146" s="7" t="s">
        <v>273</v>
      </c>
      <c r="G146" s="7">
        <v>1</v>
      </c>
      <c r="H146" s="7" t="s">
        <v>45</v>
      </c>
      <c r="I146" s="7">
        <f>(1.7+0.2)*(2.8+0.3)*G146</f>
        <v>5.89</v>
      </c>
      <c r="J146" s="9"/>
      <c r="K146" s="9"/>
    </row>
    <row r="147" ht="200.15" customHeight="1" spans="1:11">
      <c r="A147" s="7">
        <v>145</v>
      </c>
      <c r="B147" s="7" t="s">
        <v>64</v>
      </c>
      <c r="C147" s="7" t="s">
        <v>55</v>
      </c>
      <c r="D147" s="7" t="s">
        <v>146</v>
      </c>
      <c r="E147" s="7"/>
      <c r="F147" s="7" t="s">
        <v>223</v>
      </c>
      <c r="G147" s="7">
        <v>4</v>
      </c>
      <c r="H147" s="7" t="s">
        <v>45</v>
      </c>
      <c r="I147" s="7">
        <f>(2.6+0.2)*(2.8+0.3)*G147</f>
        <v>34.72</v>
      </c>
      <c r="J147" s="9"/>
      <c r="K147" s="9"/>
    </row>
    <row r="148" ht="200.15" customHeight="1" spans="1:11">
      <c r="A148" s="7">
        <v>146</v>
      </c>
      <c r="B148" s="7" t="s">
        <v>64</v>
      </c>
      <c r="C148" s="7" t="s">
        <v>240</v>
      </c>
      <c r="D148" s="7" t="s">
        <v>146</v>
      </c>
      <c r="E148" s="7"/>
      <c r="F148" s="7" t="s">
        <v>188</v>
      </c>
      <c r="G148" s="7">
        <v>1</v>
      </c>
      <c r="H148" s="7" t="s">
        <v>45</v>
      </c>
      <c r="I148" s="7">
        <f>(2.2+0.2)*(2.8+0.3)*G148</f>
        <v>7.44</v>
      </c>
      <c r="J148" s="9"/>
      <c r="K148" s="9"/>
    </row>
    <row r="149" ht="200.15" customHeight="1" spans="1:11">
      <c r="A149" s="7">
        <v>147</v>
      </c>
      <c r="B149" s="7" t="s">
        <v>64</v>
      </c>
      <c r="C149" s="7" t="s">
        <v>174</v>
      </c>
      <c r="D149" s="7" t="s">
        <v>146</v>
      </c>
      <c r="E149" s="7"/>
      <c r="F149" s="7" t="s">
        <v>284</v>
      </c>
      <c r="G149" s="7">
        <v>1</v>
      </c>
      <c r="H149" s="7" t="s">
        <v>45</v>
      </c>
      <c r="I149" s="7">
        <f>(4.8+0.2)*(2.8+0.3)*G149</f>
        <v>15.5</v>
      </c>
      <c r="J149" s="9"/>
      <c r="K149" s="9"/>
    </row>
    <row r="150" ht="200.15" customHeight="1" spans="1:11">
      <c r="A150" s="7">
        <v>148</v>
      </c>
      <c r="B150" s="7" t="s">
        <v>64</v>
      </c>
      <c r="C150" s="7" t="s">
        <v>276</v>
      </c>
      <c r="D150" s="7" t="s">
        <v>146</v>
      </c>
      <c r="E150" s="7"/>
      <c r="F150" s="7" t="s">
        <v>277</v>
      </c>
      <c r="G150" s="7">
        <v>1</v>
      </c>
      <c r="H150" s="7" t="s">
        <v>45</v>
      </c>
      <c r="I150" s="7">
        <f>(5.4+0.2)*(2.8+0.3)*G150</f>
        <v>17.36</v>
      </c>
      <c r="J150" s="9"/>
      <c r="K150" s="9"/>
    </row>
    <row r="151" ht="200.15" customHeight="1" spans="1:11">
      <c r="A151" s="7">
        <v>149</v>
      </c>
      <c r="B151" s="7" t="s">
        <v>64</v>
      </c>
      <c r="C151" s="7" t="s">
        <v>230</v>
      </c>
      <c r="D151" s="7" t="s">
        <v>146</v>
      </c>
      <c r="E151" s="7"/>
      <c r="F151" s="7" t="s">
        <v>278</v>
      </c>
      <c r="G151" s="7">
        <v>1</v>
      </c>
      <c r="H151" s="7" t="s">
        <v>45</v>
      </c>
      <c r="I151" s="7">
        <f>(2.5+0.2)*(2.8+0.3)*G151</f>
        <v>8.37</v>
      </c>
      <c r="J151" s="9"/>
      <c r="K151" s="9"/>
    </row>
    <row r="152" ht="200.15" customHeight="1" spans="1:11">
      <c r="A152" s="7">
        <v>150</v>
      </c>
      <c r="B152" s="7" t="s">
        <v>64</v>
      </c>
      <c r="C152" s="7" t="s">
        <v>262</v>
      </c>
      <c r="D152" s="7" t="s">
        <v>146</v>
      </c>
      <c r="E152" s="7"/>
      <c r="F152" s="7" t="s">
        <v>168</v>
      </c>
      <c r="G152" s="7">
        <v>1</v>
      </c>
      <c r="H152" s="7" t="s">
        <v>45</v>
      </c>
      <c r="I152" s="7">
        <f>(7.6+0.2)*(2.8+0.3)*G152</f>
        <v>24.18</v>
      </c>
      <c r="J152" s="9"/>
      <c r="K152" s="9"/>
    </row>
    <row r="153" ht="200.15" customHeight="1" spans="1:11">
      <c r="A153" s="7">
        <v>151</v>
      </c>
      <c r="B153" s="7" t="s">
        <v>64</v>
      </c>
      <c r="C153" s="7" t="s">
        <v>191</v>
      </c>
      <c r="D153" s="7" t="s">
        <v>146</v>
      </c>
      <c r="E153" s="7"/>
      <c r="F153" s="7" t="s">
        <v>285</v>
      </c>
      <c r="G153" s="7">
        <v>1</v>
      </c>
      <c r="H153" s="7" t="s">
        <v>45</v>
      </c>
      <c r="I153" s="7">
        <f>(4.34+0.2)*(2.8+0.3)*G153</f>
        <v>14.074</v>
      </c>
      <c r="J153" s="9"/>
      <c r="K153" s="9"/>
    </row>
    <row r="154" ht="200.15" customHeight="1" spans="1:11">
      <c r="A154" s="7">
        <v>152</v>
      </c>
      <c r="B154" s="7" t="s">
        <v>64</v>
      </c>
      <c r="C154" s="7" t="s">
        <v>230</v>
      </c>
      <c r="D154" s="7" t="s">
        <v>146</v>
      </c>
      <c r="E154" s="7"/>
      <c r="F154" s="7" t="s">
        <v>286</v>
      </c>
      <c r="G154" s="7">
        <v>1</v>
      </c>
      <c r="H154" s="7" t="s">
        <v>45</v>
      </c>
      <c r="I154" s="7">
        <f>(2.08+0.2)*(2.8+0.3)*G154</f>
        <v>7.068</v>
      </c>
      <c r="J154" s="9"/>
      <c r="K154" s="9"/>
    </row>
    <row r="155" ht="200.15" customHeight="1" spans="1:11">
      <c r="A155" s="7">
        <v>153</v>
      </c>
      <c r="B155" s="7" t="s">
        <v>64</v>
      </c>
      <c r="C155" s="7" t="s">
        <v>280</v>
      </c>
      <c r="D155" s="7" t="s">
        <v>146</v>
      </c>
      <c r="E155" s="7"/>
      <c r="F155" s="7" t="s">
        <v>257</v>
      </c>
      <c r="G155" s="7">
        <v>1</v>
      </c>
      <c r="H155" s="7" t="s">
        <v>45</v>
      </c>
      <c r="I155" s="7">
        <f>(2.6+0.2+2.3+0.2)*(2.8+0.3)*G155</f>
        <v>16.43</v>
      </c>
      <c r="J155" s="9"/>
      <c r="K155" s="9"/>
    </row>
    <row r="156" ht="200.15" customHeight="1" spans="1:11">
      <c r="A156" s="7">
        <v>154</v>
      </c>
      <c r="B156" s="7" t="s">
        <v>64</v>
      </c>
      <c r="C156" s="7" t="s">
        <v>96</v>
      </c>
      <c r="D156" s="7" t="s">
        <v>146</v>
      </c>
      <c r="E156" s="7"/>
      <c r="F156" s="7" t="s">
        <v>282</v>
      </c>
      <c r="G156" s="7">
        <v>1</v>
      </c>
      <c r="H156" s="7" t="s">
        <v>45</v>
      </c>
      <c r="I156" s="7">
        <f>(2.7+0.2+2.2+0.2)*(2.8+0.3)*G156</f>
        <v>16.43</v>
      </c>
      <c r="J156" s="9"/>
      <c r="K156" s="9"/>
    </row>
    <row r="157" ht="200.15" customHeight="1" spans="1:11">
      <c r="A157" s="7">
        <v>155</v>
      </c>
      <c r="B157" s="7" t="s">
        <v>64</v>
      </c>
      <c r="C157" s="7" t="s">
        <v>242</v>
      </c>
      <c r="D157" s="7" t="s">
        <v>146</v>
      </c>
      <c r="E157" s="7"/>
      <c r="F157" s="7" t="s">
        <v>241</v>
      </c>
      <c r="G157" s="7">
        <v>1</v>
      </c>
      <c r="H157" s="7" t="s">
        <v>45</v>
      </c>
      <c r="I157" s="7">
        <f>(1+0.2)*(2.8+0.3)*G157</f>
        <v>3.72</v>
      </c>
      <c r="J157" s="9"/>
      <c r="K157" s="9"/>
    </row>
    <row r="158" ht="200.15" customHeight="1" spans="1:11">
      <c r="A158" s="7">
        <v>156</v>
      </c>
      <c r="B158" s="7" t="s">
        <v>64</v>
      </c>
      <c r="C158" s="7" t="s">
        <v>243</v>
      </c>
      <c r="D158" s="7" t="s">
        <v>146</v>
      </c>
      <c r="E158" s="7"/>
      <c r="F158" s="7" t="s">
        <v>241</v>
      </c>
      <c r="G158" s="7">
        <v>1</v>
      </c>
      <c r="H158" s="7" t="s">
        <v>45</v>
      </c>
      <c r="I158" s="7">
        <f>(1+0.2)*(2.8+0.3)*G158</f>
        <v>3.72</v>
      </c>
      <c r="J158" s="9"/>
      <c r="K158" s="9"/>
    </row>
    <row r="159" ht="200.15" customHeight="1" spans="1:11">
      <c r="A159" s="7">
        <v>157</v>
      </c>
      <c r="B159" s="7" t="s">
        <v>64</v>
      </c>
      <c r="C159" s="7" t="s">
        <v>283</v>
      </c>
      <c r="D159" s="7" t="s">
        <v>146</v>
      </c>
      <c r="E159" s="7"/>
      <c r="F159" s="7" t="s">
        <v>241</v>
      </c>
      <c r="G159" s="7">
        <v>1</v>
      </c>
      <c r="H159" s="7" t="s">
        <v>45</v>
      </c>
      <c r="I159" s="7">
        <f>(1+0.2)*(2.8+0.3)*G159</f>
        <v>3.72</v>
      </c>
      <c r="J159" s="9"/>
      <c r="K159" s="9"/>
    </row>
    <row r="160" ht="200.15" customHeight="1" spans="1:11">
      <c r="A160" s="7">
        <v>158</v>
      </c>
      <c r="B160" s="7" t="s">
        <v>65</v>
      </c>
      <c r="C160" s="7" t="s">
        <v>171</v>
      </c>
      <c r="D160" s="7" t="s">
        <v>146</v>
      </c>
      <c r="E160" s="7"/>
      <c r="F160" s="7" t="s">
        <v>205</v>
      </c>
      <c r="G160" s="7">
        <v>3</v>
      </c>
      <c r="H160" s="7" t="s">
        <v>45</v>
      </c>
      <c r="I160" s="7">
        <f>(2.8+0.2)*(2.8+0.3)*G160</f>
        <v>27.9</v>
      </c>
      <c r="J160" s="9"/>
      <c r="K160" s="9"/>
    </row>
    <row r="161" ht="200.15" customHeight="1" spans="1:11">
      <c r="A161" s="7">
        <v>159</v>
      </c>
      <c r="B161" s="7" t="s">
        <v>65</v>
      </c>
      <c r="C161" s="7" t="s">
        <v>171</v>
      </c>
      <c r="D161" s="7" t="s">
        <v>146</v>
      </c>
      <c r="E161" s="7"/>
      <c r="F161" s="7" t="s">
        <v>239</v>
      </c>
      <c r="G161" s="7">
        <v>1</v>
      </c>
      <c r="H161" s="7" t="s">
        <v>45</v>
      </c>
      <c r="I161" s="7">
        <f>(1.8+0.2)*(2.8+0.3)*G161</f>
        <v>6.2</v>
      </c>
      <c r="J161" s="9"/>
      <c r="K161" s="9"/>
    </row>
    <row r="162" ht="200.15" customHeight="1" spans="1:11">
      <c r="A162" s="7">
        <v>160</v>
      </c>
      <c r="B162" s="7" t="s">
        <v>65</v>
      </c>
      <c r="C162" s="7" t="s">
        <v>271</v>
      </c>
      <c r="D162" s="7" t="s">
        <v>146</v>
      </c>
      <c r="E162" s="7"/>
      <c r="F162" s="7" t="s">
        <v>197</v>
      </c>
      <c r="G162" s="7">
        <v>1</v>
      </c>
      <c r="H162" s="7" t="s">
        <v>45</v>
      </c>
      <c r="I162" s="7">
        <f>(3.6+0.2)*(2.8+0.3)*G162</f>
        <v>11.78</v>
      </c>
      <c r="J162" s="9"/>
      <c r="K162" s="9"/>
    </row>
    <row r="163" ht="200.15" customHeight="1" spans="1:11">
      <c r="A163" s="7">
        <v>161</v>
      </c>
      <c r="B163" s="7" t="s">
        <v>65</v>
      </c>
      <c r="C163" s="7" t="s">
        <v>272</v>
      </c>
      <c r="D163" s="7" t="s">
        <v>146</v>
      </c>
      <c r="E163" s="7"/>
      <c r="F163" s="7" t="s">
        <v>273</v>
      </c>
      <c r="G163" s="7">
        <v>1</v>
      </c>
      <c r="H163" s="7" t="s">
        <v>45</v>
      </c>
      <c r="I163" s="7">
        <f>(1.7+0.2)*(2.8+0.3)*G163</f>
        <v>5.89</v>
      </c>
      <c r="J163" s="9"/>
      <c r="K163" s="9"/>
    </row>
    <row r="164" ht="200.15" customHeight="1" spans="1:11">
      <c r="A164" s="7">
        <v>162</v>
      </c>
      <c r="B164" s="7" t="s">
        <v>65</v>
      </c>
      <c r="C164" s="7" t="s">
        <v>276</v>
      </c>
      <c r="D164" s="7" t="s">
        <v>146</v>
      </c>
      <c r="E164" s="7"/>
      <c r="F164" s="7" t="s">
        <v>223</v>
      </c>
      <c r="G164" s="7">
        <v>1</v>
      </c>
      <c r="H164" s="7" t="s">
        <v>45</v>
      </c>
      <c r="I164" s="7">
        <f>(2.6+0.2)*(2.8+0.3)*G164</f>
        <v>8.68</v>
      </c>
      <c r="J164" s="9"/>
      <c r="K164" s="9"/>
    </row>
    <row r="165" ht="200.15" customHeight="1" spans="1:11">
      <c r="A165" s="7">
        <v>163</v>
      </c>
      <c r="B165" s="7" t="s">
        <v>65</v>
      </c>
      <c r="C165" s="7" t="s">
        <v>131</v>
      </c>
      <c r="D165" s="7" t="s">
        <v>146</v>
      </c>
      <c r="E165" s="7"/>
      <c r="F165" s="7" t="s">
        <v>205</v>
      </c>
      <c r="G165" s="7">
        <v>1</v>
      </c>
      <c r="H165" s="7" t="s">
        <v>45</v>
      </c>
      <c r="I165" s="7">
        <f>(2.8+0.2)*(2.8+0.3)*G165</f>
        <v>9.3</v>
      </c>
      <c r="J165" s="9"/>
      <c r="K165" s="9"/>
    </row>
    <row r="166" ht="200.15" customHeight="1" spans="1:11">
      <c r="A166" s="7">
        <v>164</v>
      </c>
      <c r="B166" s="7" t="s">
        <v>65</v>
      </c>
      <c r="C166" s="7" t="s">
        <v>174</v>
      </c>
      <c r="D166" s="7" t="s">
        <v>146</v>
      </c>
      <c r="E166" s="7"/>
      <c r="F166" s="7" t="s">
        <v>275</v>
      </c>
      <c r="G166" s="7">
        <v>1</v>
      </c>
      <c r="H166" s="7" t="s">
        <v>45</v>
      </c>
      <c r="I166" s="7">
        <f>(4.6+0.2)*(2.8+0.3)*G166</f>
        <v>14.88</v>
      </c>
      <c r="J166" s="9"/>
      <c r="K166" s="9"/>
    </row>
    <row r="167" ht="200.15" customHeight="1" spans="1:11">
      <c r="A167" s="7">
        <v>165</v>
      </c>
      <c r="B167" s="7" t="s">
        <v>65</v>
      </c>
      <c r="C167" s="7" t="s">
        <v>262</v>
      </c>
      <c r="D167" s="7" t="s">
        <v>146</v>
      </c>
      <c r="E167" s="7"/>
      <c r="F167" s="7" t="s">
        <v>168</v>
      </c>
      <c r="G167" s="7">
        <v>1</v>
      </c>
      <c r="H167" s="7" t="s">
        <v>45</v>
      </c>
      <c r="I167" s="7">
        <f>(7.6+0.2)*(2.8+0.3)*G167</f>
        <v>24.18</v>
      </c>
      <c r="J167" s="9"/>
      <c r="K167" s="9"/>
    </row>
    <row r="168" ht="200.15" customHeight="1" spans="1:11">
      <c r="A168" s="7">
        <v>166</v>
      </c>
      <c r="B168" s="7" t="s">
        <v>65</v>
      </c>
      <c r="C168" s="7" t="s">
        <v>230</v>
      </c>
      <c r="D168" s="7" t="s">
        <v>146</v>
      </c>
      <c r="E168" s="7"/>
      <c r="F168" s="7" t="s">
        <v>287</v>
      </c>
      <c r="G168" s="7">
        <v>1</v>
      </c>
      <c r="H168" s="7" t="s">
        <v>45</v>
      </c>
      <c r="I168" s="7">
        <f>(1.85+0.2)*(2.8+0.3)*G168</f>
        <v>6.355</v>
      </c>
      <c r="J168" s="9"/>
      <c r="K168" s="9"/>
    </row>
    <row r="169" ht="200.15" customHeight="1" spans="1:11">
      <c r="A169" s="7">
        <v>167</v>
      </c>
      <c r="B169" s="7" t="s">
        <v>65</v>
      </c>
      <c r="C169" s="7" t="s">
        <v>288</v>
      </c>
      <c r="D169" s="7" t="s">
        <v>146</v>
      </c>
      <c r="E169" s="7"/>
      <c r="F169" s="7" t="s">
        <v>289</v>
      </c>
      <c r="G169" s="7">
        <v>1</v>
      </c>
      <c r="H169" s="7" t="s">
        <v>45</v>
      </c>
      <c r="I169" s="7">
        <f>(5.3+0.2+7.6+0.2)*(2.8+0.3)*G169</f>
        <v>41.23</v>
      </c>
      <c r="J169" s="9"/>
      <c r="K169" s="9"/>
    </row>
    <row r="170" ht="200.15" customHeight="1" spans="1:11">
      <c r="A170" s="7">
        <v>168</v>
      </c>
      <c r="B170" s="7" t="s">
        <v>65</v>
      </c>
      <c r="C170" s="7" t="s">
        <v>290</v>
      </c>
      <c r="D170" s="7" t="s">
        <v>146</v>
      </c>
      <c r="E170" s="7"/>
      <c r="F170" s="7" t="s">
        <v>107</v>
      </c>
      <c r="G170" s="7">
        <v>1</v>
      </c>
      <c r="H170" s="7" t="s">
        <v>45</v>
      </c>
      <c r="I170" s="7">
        <f>(2.3+0.2)*(2.8+0.3)*G170</f>
        <v>7.75</v>
      </c>
      <c r="J170" s="9"/>
      <c r="K170" s="9"/>
    </row>
    <row r="171" ht="200.15" customHeight="1" spans="1:11">
      <c r="A171" s="7">
        <v>169</v>
      </c>
      <c r="B171" s="7" t="s">
        <v>65</v>
      </c>
      <c r="C171" s="7" t="s">
        <v>280</v>
      </c>
      <c r="D171" s="7" t="s">
        <v>146</v>
      </c>
      <c r="E171" s="7"/>
      <c r="F171" s="7" t="s">
        <v>257</v>
      </c>
      <c r="G171" s="7">
        <v>1</v>
      </c>
      <c r="H171" s="7" t="s">
        <v>45</v>
      </c>
      <c r="I171" s="7">
        <f>(2.6+0.2+2.3+0.2)*(2.8+0.3)*G171</f>
        <v>16.43</v>
      </c>
      <c r="J171" s="9"/>
      <c r="K171" s="9"/>
    </row>
    <row r="172" ht="200.15" customHeight="1" spans="1:11">
      <c r="A172" s="7">
        <v>170</v>
      </c>
      <c r="B172" s="7" t="s">
        <v>65</v>
      </c>
      <c r="C172" s="7" t="s">
        <v>232</v>
      </c>
      <c r="D172" s="7" t="s">
        <v>146</v>
      </c>
      <c r="E172" s="7"/>
      <c r="F172" s="7" t="s">
        <v>188</v>
      </c>
      <c r="G172" s="7">
        <v>1</v>
      </c>
      <c r="H172" s="7" t="s">
        <v>45</v>
      </c>
      <c r="I172" s="7">
        <f>(2.2+0.2)*(2.8+0.3)*G172</f>
        <v>7.44</v>
      </c>
      <c r="J172" s="9"/>
      <c r="K172" s="9"/>
    </row>
    <row r="173" ht="200.15" customHeight="1" spans="1:11">
      <c r="A173" s="7">
        <v>171</v>
      </c>
      <c r="B173" s="7" t="s">
        <v>65</v>
      </c>
      <c r="C173" s="7" t="s">
        <v>242</v>
      </c>
      <c r="D173" s="7" t="s">
        <v>146</v>
      </c>
      <c r="E173" s="7"/>
      <c r="F173" s="7" t="s">
        <v>241</v>
      </c>
      <c r="G173" s="7">
        <v>1</v>
      </c>
      <c r="H173" s="7" t="s">
        <v>45</v>
      </c>
      <c r="I173" s="7">
        <f>(1+0.2)*(2.8+0.3)*G173</f>
        <v>3.72</v>
      </c>
      <c r="J173" s="9"/>
      <c r="K173" s="9"/>
    </row>
    <row r="174" ht="200.15" customHeight="1" spans="1:11">
      <c r="A174" s="7">
        <v>172</v>
      </c>
      <c r="B174" s="7" t="s">
        <v>65</v>
      </c>
      <c r="C174" s="7" t="s">
        <v>243</v>
      </c>
      <c r="D174" s="7" t="s">
        <v>146</v>
      </c>
      <c r="E174" s="7"/>
      <c r="F174" s="7" t="s">
        <v>241</v>
      </c>
      <c r="G174" s="7">
        <v>1</v>
      </c>
      <c r="H174" s="7" t="s">
        <v>45</v>
      </c>
      <c r="I174" s="7">
        <f>(1+0.2)*(2.8+0.3)*G174</f>
        <v>3.72</v>
      </c>
      <c r="J174" s="9"/>
      <c r="K174" s="9"/>
    </row>
    <row r="175" ht="200.15" customHeight="1" spans="1:11">
      <c r="A175" s="7">
        <v>173</v>
      </c>
      <c r="B175" s="7" t="s">
        <v>65</v>
      </c>
      <c r="C175" s="7" t="s">
        <v>291</v>
      </c>
      <c r="D175" s="7" t="s">
        <v>146</v>
      </c>
      <c r="E175" s="7"/>
      <c r="F175" s="7" t="s">
        <v>292</v>
      </c>
      <c r="G175" s="7">
        <v>1</v>
      </c>
      <c r="H175" s="7" t="s">
        <v>45</v>
      </c>
      <c r="I175" s="7">
        <f>(3.2+0.2)*(2.4+0.3)*G175</f>
        <v>9.18</v>
      </c>
      <c r="J175" s="9"/>
      <c r="K175" s="9"/>
    </row>
    <row r="176" ht="200.15" customHeight="1" spans="1:11">
      <c r="A176" s="7">
        <v>174</v>
      </c>
      <c r="B176" s="7" t="s">
        <v>65</v>
      </c>
      <c r="C176" s="11" t="s">
        <v>293</v>
      </c>
      <c r="D176" s="7" t="s">
        <v>146</v>
      </c>
      <c r="E176" s="7"/>
      <c r="F176" s="7" t="s">
        <v>292</v>
      </c>
      <c r="G176" s="7">
        <v>1</v>
      </c>
      <c r="H176" s="7" t="s">
        <v>45</v>
      </c>
      <c r="I176" s="7">
        <f>(3.2+0.2)*(2.4+0.3)*G176</f>
        <v>9.18</v>
      </c>
      <c r="J176" s="9"/>
      <c r="K176" s="9"/>
    </row>
    <row r="177" ht="200.15" customHeight="1" spans="1:11">
      <c r="A177" s="7">
        <v>175</v>
      </c>
      <c r="B177" s="7" t="s">
        <v>68</v>
      </c>
      <c r="C177" s="7" t="s">
        <v>59</v>
      </c>
      <c r="D177" s="7" t="s">
        <v>146</v>
      </c>
      <c r="E177" s="7"/>
      <c r="F177" s="7" t="s">
        <v>268</v>
      </c>
      <c r="G177" s="7">
        <v>1</v>
      </c>
      <c r="H177" s="7" t="s">
        <v>45</v>
      </c>
      <c r="I177" s="7">
        <f>(8.2+0.2)*(2.8+0.3)*G177</f>
        <v>26.04</v>
      </c>
      <c r="J177" s="9"/>
      <c r="K177" s="9"/>
    </row>
    <row r="178" ht="200.15" customHeight="1" spans="1:11">
      <c r="A178" s="7">
        <v>176</v>
      </c>
      <c r="B178" s="7" t="s">
        <v>68</v>
      </c>
      <c r="C178" s="7" t="s">
        <v>171</v>
      </c>
      <c r="D178" s="7" t="s">
        <v>146</v>
      </c>
      <c r="E178" s="7"/>
      <c r="F178" s="7" t="s">
        <v>205</v>
      </c>
      <c r="G178" s="7">
        <v>3</v>
      </c>
      <c r="H178" s="7" t="s">
        <v>45</v>
      </c>
      <c r="I178" s="7">
        <f>(2.8+0.2)*(2.8+0.3)*G178</f>
        <v>27.9</v>
      </c>
      <c r="J178" s="9"/>
      <c r="K178" s="9"/>
    </row>
    <row r="179" ht="200.15" customHeight="1" spans="1:11">
      <c r="A179" s="7">
        <v>177</v>
      </c>
      <c r="B179" s="7" t="s">
        <v>68</v>
      </c>
      <c r="C179" s="7" t="s">
        <v>171</v>
      </c>
      <c r="D179" s="7" t="s">
        <v>146</v>
      </c>
      <c r="E179" s="7"/>
      <c r="F179" s="7" t="s">
        <v>239</v>
      </c>
      <c r="G179" s="7">
        <v>1</v>
      </c>
      <c r="H179" s="7" t="s">
        <v>45</v>
      </c>
      <c r="I179" s="7">
        <f>(1.8+0.2)*(2.8+0.3)*G179</f>
        <v>6.2</v>
      </c>
      <c r="J179" s="9"/>
      <c r="K179" s="9"/>
    </row>
    <row r="180" ht="200.15" customHeight="1" spans="1:11">
      <c r="A180" s="7">
        <v>178</v>
      </c>
      <c r="B180" s="7" t="s">
        <v>68</v>
      </c>
      <c r="C180" s="7" t="s">
        <v>271</v>
      </c>
      <c r="D180" s="7" t="s">
        <v>146</v>
      </c>
      <c r="E180" s="7"/>
      <c r="F180" s="7" t="s">
        <v>197</v>
      </c>
      <c r="G180" s="7">
        <v>1</v>
      </c>
      <c r="H180" s="7" t="s">
        <v>45</v>
      </c>
      <c r="I180" s="7">
        <f>(3.6+0.2)*(2.8+0.3)*G180</f>
        <v>11.78</v>
      </c>
      <c r="J180" s="9"/>
      <c r="K180" s="9"/>
    </row>
    <row r="181" ht="200.15" customHeight="1" spans="1:11">
      <c r="A181" s="7">
        <v>179</v>
      </c>
      <c r="B181" s="7" t="s">
        <v>68</v>
      </c>
      <c r="C181" s="7" t="s">
        <v>270</v>
      </c>
      <c r="D181" s="7" t="s">
        <v>146</v>
      </c>
      <c r="E181" s="7"/>
      <c r="F181" s="7" t="s">
        <v>269</v>
      </c>
      <c r="G181" s="7">
        <v>1</v>
      </c>
      <c r="H181" s="7" t="s">
        <v>45</v>
      </c>
      <c r="I181" s="7">
        <f>(1+0.2)*(2.8+0.3)*G181</f>
        <v>3.72</v>
      </c>
      <c r="J181" s="9"/>
      <c r="K181" s="9"/>
    </row>
    <row r="182" ht="200.15" customHeight="1" spans="1:11">
      <c r="A182" s="7">
        <v>180</v>
      </c>
      <c r="B182" s="7" t="s">
        <v>68</v>
      </c>
      <c r="C182" s="7" t="s">
        <v>272</v>
      </c>
      <c r="D182" s="7" t="s">
        <v>146</v>
      </c>
      <c r="E182" s="7"/>
      <c r="F182" s="7" t="s">
        <v>273</v>
      </c>
      <c r="G182" s="7">
        <v>1</v>
      </c>
      <c r="H182" s="7" t="s">
        <v>45</v>
      </c>
      <c r="I182" s="7">
        <f>(1.7+0.2)*(2.8+0.3)*G182</f>
        <v>5.89</v>
      </c>
      <c r="J182" s="9"/>
      <c r="K182" s="9"/>
    </row>
    <row r="183" ht="200.15" customHeight="1" spans="1:11">
      <c r="A183" s="7">
        <v>181</v>
      </c>
      <c r="B183" s="7" t="s">
        <v>68</v>
      </c>
      <c r="C183" s="7" t="s">
        <v>69</v>
      </c>
      <c r="D183" s="7" t="s">
        <v>146</v>
      </c>
      <c r="E183" s="7"/>
      <c r="F183" s="7" t="s">
        <v>223</v>
      </c>
      <c r="G183" s="7">
        <v>1</v>
      </c>
      <c r="H183" s="7" t="s">
        <v>45</v>
      </c>
      <c r="I183" s="7">
        <f>(2.6+0.2)*(2.8+0.3)*G183</f>
        <v>8.68</v>
      </c>
      <c r="J183" s="9"/>
      <c r="K183" s="9"/>
    </row>
    <row r="184" ht="200.15" customHeight="1" spans="1:11">
      <c r="A184" s="7">
        <v>182</v>
      </c>
      <c r="B184" s="7" t="s">
        <v>68</v>
      </c>
      <c r="C184" s="7" t="s">
        <v>240</v>
      </c>
      <c r="D184" s="7" t="s">
        <v>146</v>
      </c>
      <c r="E184" s="7"/>
      <c r="F184" s="7" t="s">
        <v>294</v>
      </c>
      <c r="G184" s="7">
        <v>1</v>
      </c>
      <c r="H184" s="7" t="s">
        <v>45</v>
      </c>
      <c r="I184" s="7">
        <f>(2.1+0.2)*(2.8+0.3)*G184</f>
        <v>7.13</v>
      </c>
      <c r="J184" s="9"/>
      <c r="K184" s="9"/>
    </row>
    <row r="185" ht="200.15" customHeight="1" spans="1:11">
      <c r="A185" s="7">
        <v>183</v>
      </c>
      <c r="B185" s="7" t="s">
        <v>68</v>
      </c>
      <c r="C185" s="7" t="s">
        <v>174</v>
      </c>
      <c r="D185" s="7" t="s">
        <v>146</v>
      </c>
      <c r="E185" s="7"/>
      <c r="F185" s="7" t="s">
        <v>295</v>
      </c>
      <c r="G185" s="7">
        <v>1</v>
      </c>
      <c r="H185" s="7" t="s">
        <v>45</v>
      </c>
      <c r="I185" s="7">
        <f>(4.7+0.2)*(2.8+0.3)*G185</f>
        <v>15.19</v>
      </c>
      <c r="J185" s="9"/>
      <c r="K185" s="9"/>
    </row>
    <row r="186" ht="200.15" customHeight="1" spans="1:11">
      <c r="A186" s="7">
        <v>184</v>
      </c>
      <c r="B186" s="7" t="s">
        <v>68</v>
      </c>
      <c r="C186" s="7" t="s">
        <v>276</v>
      </c>
      <c r="D186" s="7" t="s">
        <v>146</v>
      </c>
      <c r="E186" s="7"/>
      <c r="F186" s="7" t="s">
        <v>228</v>
      </c>
      <c r="G186" s="7">
        <v>1</v>
      </c>
      <c r="H186" s="7" t="s">
        <v>45</v>
      </c>
      <c r="I186" s="7">
        <f>(4.3+0.2)*(2.8+0.3)*G186</f>
        <v>13.95</v>
      </c>
      <c r="J186" s="9"/>
      <c r="K186" s="9"/>
    </row>
    <row r="187" ht="200.15" customHeight="1" spans="1:11">
      <c r="A187" s="7">
        <v>185</v>
      </c>
      <c r="B187" s="7" t="s">
        <v>68</v>
      </c>
      <c r="C187" s="7" t="s">
        <v>230</v>
      </c>
      <c r="D187" s="7" t="s">
        <v>146</v>
      </c>
      <c r="E187" s="7"/>
      <c r="F187" s="7" t="s">
        <v>296</v>
      </c>
      <c r="G187" s="7">
        <v>1</v>
      </c>
      <c r="H187" s="7" t="s">
        <v>45</v>
      </c>
      <c r="I187" s="7">
        <f>(2.7+0.2)*(2.8+0.3)*G187</f>
        <v>8.99</v>
      </c>
      <c r="J187" s="9"/>
      <c r="K187" s="9"/>
    </row>
    <row r="188" ht="200.15" customHeight="1" spans="1:11">
      <c r="A188" s="7">
        <v>186</v>
      </c>
      <c r="B188" s="7" t="s">
        <v>68</v>
      </c>
      <c r="C188" s="7" t="s">
        <v>262</v>
      </c>
      <c r="D188" s="7" t="s">
        <v>146</v>
      </c>
      <c r="E188" s="7"/>
      <c r="F188" s="7" t="s">
        <v>168</v>
      </c>
      <c r="G188" s="7">
        <v>1</v>
      </c>
      <c r="H188" s="7" t="s">
        <v>45</v>
      </c>
      <c r="I188" s="7">
        <f>(7.6+0.2)*(2.8+0.3)*G188</f>
        <v>24.18</v>
      </c>
      <c r="J188" s="9"/>
      <c r="K188" s="9"/>
    </row>
    <row r="189" ht="200.15" customHeight="1" spans="1:11">
      <c r="A189" s="7">
        <v>187</v>
      </c>
      <c r="B189" s="7" t="s">
        <v>68</v>
      </c>
      <c r="C189" s="7" t="s">
        <v>274</v>
      </c>
      <c r="D189" s="7" t="s">
        <v>146</v>
      </c>
      <c r="E189" s="7"/>
      <c r="F189" s="7" t="s">
        <v>285</v>
      </c>
      <c r="G189" s="7">
        <v>1</v>
      </c>
      <c r="H189" s="7" t="s">
        <v>45</v>
      </c>
      <c r="I189" s="7">
        <f>(4.34+0.2)*(2.8+0.3)*G189</f>
        <v>14.074</v>
      </c>
      <c r="J189" s="9"/>
      <c r="K189" s="9"/>
    </row>
    <row r="190" ht="200.15" customHeight="1" spans="1:11">
      <c r="A190" s="7">
        <v>188</v>
      </c>
      <c r="B190" s="7" t="s">
        <v>68</v>
      </c>
      <c r="C190" s="7" t="s">
        <v>230</v>
      </c>
      <c r="D190" s="7" t="s">
        <v>146</v>
      </c>
      <c r="E190" s="7"/>
      <c r="F190" s="7" t="s">
        <v>296</v>
      </c>
      <c r="G190" s="7">
        <v>1</v>
      </c>
      <c r="H190" s="7" t="s">
        <v>45</v>
      </c>
      <c r="I190" s="7">
        <f>(2.7+0.2)*(2.8+0.3)*G190</f>
        <v>8.99</v>
      </c>
      <c r="J190" s="9"/>
      <c r="K190" s="9"/>
    </row>
    <row r="191" ht="200.15" customHeight="1" spans="1:11">
      <c r="A191" s="7">
        <v>189</v>
      </c>
      <c r="B191" s="7" t="s">
        <v>68</v>
      </c>
      <c r="C191" s="7" t="s">
        <v>280</v>
      </c>
      <c r="D191" s="7" t="s">
        <v>146</v>
      </c>
      <c r="E191" s="7"/>
      <c r="F191" s="7" t="s">
        <v>107</v>
      </c>
      <c r="G191" s="7">
        <v>1</v>
      </c>
      <c r="H191" s="7" t="s">
        <v>45</v>
      </c>
      <c r="I191" s="7">
        <f>(2.3+0.2)*(2.8+0.3)*G191</f>
        <v>7.75</v>
      </c>
      <c r="J191" s="9"/>
      <c r="K191" s="9"/>
    </row>
    <row r="192" ht="200.15" customHeight="1" spans="1:11">
      <c r="A192" s="7">
        <v>190</v>
      </c>
      <c r="B192" s="7" t="s">
        <v>68</v>
      </c>
      <c r="C192" s="7" t="s">
        <v>242</v>
      </c>
      <c r="D192" s="7" t="s">
        <v>146</v>
      </c>
      <c r="E192" s="7"/>
      <c r="F192" s="7" t="s">
        <v>241</v>
      </c>
      <c r="G192" s="7">
        <v>1</v>
      </c>
      <c r="H192" s="7" t="s">
        <v>45</v>
      </c>
      <c r="I192" s="7">
        <f>(1+0.2)*(2.8+0.3)*G192</f>
        <v>3.72</v>
      </c>
      <c r="J192" s="9"/>
      <c r="K192" s="9"/>
    </row>
    <row r="193" ht="200.15" customHeight="1" spans="1:11">
      <c r="A193" s="7">
        <v>191</v>
      </c>
      <c r="B193" s="7" t="s">
        <v>68</v>
      </c>
      <c r="C193" s="7" t="s">
        <v>243</v>
      </c>
      <c r="D193" s="7" t="s">
        <v>146</v>
      </c>
      <c r="E193" s="7"/>
      <c r="F193" s="7" t="s">
        <v>241</v>
      </c>
      <c r="G193" s="7">
        <v>1</v>
      </c>
      <c r="H193" s="7" t="s">
        <v>45</v>
      </c>
      <c r="I193" s="7">
        <f>(1+0.2)*(2.8+0.3)*G193</f>
        <v>3.72</v>
      </c>
      <c r="J193" s="9"/>
      <c r="K193" s="9"/>
    </row>
    <row r="194" ht="200.15" customHeight="1" spans="1:11">
      <c r="A194" s="7">
        <v>192</v>
      </c>
      <c r="B194" s="7" t="s">
        <v>68</v>
      </c>
      <c r="C194" s="7" t="s">
        <v>244</v>
      </c>
      <c r="D194" s="7" t="s">
        <v>146</v>
      </c>
      <c r="E194" s="7"/>
      <c r="F194" s="7" t="s">
        <v>241</v>
      </c>
      <c r="G194" s="7">
        <v>1</v>
      </c>
      <c r="H194" s="7" t="s">
        <v>45</v>
      </c>
      <c r="I194" s="7">
        <f>(1+0.2)*(2.8+0.3)*G194</f>
        <v>3.72</v>
      </c>
      <c r="J194" s="9"/>
      <c r="K194" s="9"/>
    </row>
    <row r="195" ht="200.15" customHeight="1" spans="1:11">
      <c r="A195" s="7">
        <v>193</v>
      </c>
      <c r="B195" s="7" t="s">
        <v>70</v>
      </c>
      <c r="C195" s="7" t="s">
        <v>59</v>
      </c>
      <c r="D195" s="7" t="s">
        <v>146</v>
      </c>
      <c r="E195" s="7"/>
      <c r="F195" s="7" t="s">
        <v>268</v>
      </c>
      <c r="G195" s="7">
        <v>1</v>
      </c>
      <c r="H195" s="7" t="s">
        <v>45</v>
      </c>
      <c r="I195" s="7">
        <f>(8.2+0.5)*(2.8+0.3)*G195</f>
        <v>26.97</v>
      </c>
      <c r="J195" s="9"/>
      <c r="K195" s="9"/>
    </row>
    <row r="196" ht="200.15" customHeight="1" spans="1:11">
      <c r="A196" s="7">
        <v>194</v>
      </c>
      <c r="B196" s="7" t="s">
        <v>70</v>
      </c>
      <c r="C196" s="7" t="s">
        <v>171</v>
      </c>
      <c r="D196" s="7" t="s">
        <v>146</v>
      </c>
      <c r="E196" s="7"/>
      <c r="F196" s="7" t="s">
        <v>205</v>
      </c>
      <c r="G196" s="7">
        <v>3</v>
      </c>
      <c r="H196" s="7" t="s">
        <v>45</v>
      </c>
      <c r="I196" s="7">
        <f>(2.8+0.2)*(2.8+0.3)*G196</f>
        <v>27.9</v>
      </c>
      <c r="J196" s="9"/>
      <c r="K196" s="9"/>
    </row>
    <row r="197" ht="200.15" customHeight="1" spans="1:11">
      <c r="A197" s="7">
        <v>195</v>
      </c>
      <c r="B197" s="7" t="s">
        <v>70</v>
      </c>
      <c r="C197" s="7"/>
      <c r="D197" s="7" t="s">
        <v>146</v>
      </c>
      <c r="E197" s="7"/>
      <c r="F197" s="7" t="s">
        <v>239</v>
      </c>
      <c r="G197" s="7">
        <v>1</v>
      </c>
      <c r="H197" s="7" t="s">
        <v>45</v>
      </c>
      <c r="I197" s="7">
        <f>(1.8+0.2)*(2.8+0.3)*G197</f>
        <v>6.2</v>
      </c>
      <c r="J197" s="9"/>
      <c r="K197" s="9"/>
    </row>
    <row r="198" ht="200.15" customHeight="1" spans="1:11">
      <c r="A198" s="7">
        <v>196</v>
      </c>
      <c r="B198" s="7" t="s">
        <v>70</v>
      </c>
      <c r="C198" s="7" t="s">
        <v>271</v>
      </c>
      <c r="D198" s="7" t="s">
        <v>146</v>
      </c>
      <c r="E198" s="7"/>
      <c r="F198" s="7" t="s">
        <v>197</v>
      </c>
      <c r="G198" s="7">
        <v>1</v>
      </c>
      <c r="H198" s="7" t="s">
        <v>45</v>
      </c>
      <c r="I198" s="7">
        <f>(3.6+0.2)*(2.8+0.3)*G198</f>
        <v>11.78</v>
      </c>
      <c r="J198" s="9"/>
      <c r="K198" s="9"/>
    </row>
    <row r="199" ht="200.15" customHeight="1" spans="1:11">
      <c r="A199" s="7">
        <v>197</v>
      </c>
      <c r="B199" s="7" t="s">
        <v>70</v>
      </c>
      <c r="C199" s="7" t="s">
        <v>270</v>
      </c>
      <c r="D199" s="7" t="s">
        <v>146</v>
      </c>
      <c r="E199" s="7"/>
      <c r="F199" s="7" t="s">
        <v>269</v>
      </c>
      <c r="G199" s="7">
        <v>1</v>
      </c>
      <c r="H199" s="7" t="s">
        <v>45</v>
      </c>
      <c r="I199" s="7">
        <f>(1+0.2)*(2.8+0.3)*G199</f>
        <v>3.72</v>
      </c>
      <c r="J199" s="9"/>
      <c r="K199" s="9"/>
    </row>
    <row r="200" ht="200.15" customHeight="1" spans="1:11">
      <c r="A200" s="7">
        <v>198</v>
      </c>
      <c r="B200" s="7" t="s">
        <v>70</v>
      </c>
      <c r="C200" s="7" t="s">
        <v>272</v>
      </c>
      <c r="D200" s="7" t="s">
        <v>146</v>
      </c>
      <c r="E200" s="7"/>
      <c r="F200" s="7" t="s">
        <v>273</v>
      </c>
      <c r="G200" s="7">
        <v>1</v>
      </c>
      <c r="H200" s="7" t="s">
        <v>45</v>
      </c>
      <c r="I200" s="7">
        <f>(1.7+0.2)*(2.8+0.3)*G200</f>
        <v>5.89</v>
      </c>
      <c r="J200" s="9"/>
      <c r="K200" s="9"/>
    </row>
    <row r="201" ht="200.15" customHeight="1" spans="1:11">
      <c r="A201" s="7">
        <v>199</v>
      </c>
      <c r="B201" s="7" t="s">
        <v>70</v>
      </c>
      <c r="C201" s="7" t="s">
        <v>69</v>
      </c>
      <c r="D201" s="7" t="s">
        <v>146</v>
      </c>
      <c r="E201" s="7"/>
      <c r="F201" s="7" t="s">
        <v>223</v>
      </c>
      <c r="G201" s="7">
        <v>1</v>
      </c>
      <c r="H201" s="7" t="s">
        <v>45</v>
      </c>
      <c r="I201" s="7">
        <f>(2.6+0.2)*(2.8+0.3)*G201</f>
        <v>8.68</v>
      </c>
      <c r="J201" s="9"/>
      <c r="K201" s="9"/>
    </row>
    <row r="202" ht="200.15" customHeight="1" spans="1:11">
      <c r="A202" s="7">
        <v>200</v>
      </c>
      <c r="B202" s="7" t="s">
        <v>70</v>
      </c>
      <c r="C202" s="7" t="s">
        <v>240</v>
      </c>
      <c r="D202" s="7" t="s">
        <v>146</v>
      </c>
      <c r="E202" s="7"/>
      <c r="F202" s="7" t="s">
        <v>294</v>
      </c>
      <c r="G202" s="7">
        <v>1</v>
      </c>
      <c r="H202" s="7" t="s">
        <v>45</v>
      </c>
      <c r="I202" s="7">
        <f>(2.1+0.2)*(2.8+0.3)*G202</f>
        <v>7.13</v>
      </c>
      <c r="J202" s="9"/>
      <c r="K202" s="9"/>
    </row>
    <row r="203" ht="200.15" customHeight="1" spans="1:11">
      <c r="A203" s="7">
        <v>201</v>
      </c>
      <c r="B203" s="7" t="s">
        <v>70</v>
      </c>
      <c r="C203" s="7" t="s">
        <v>174</v>
      </c>
      <c r="D203" s="7" t="s">
        <v>146</v>
      </c>
      <c r="E203" s="7"/>
      <c r="F203" s="7" t="s">
        <v>295</v>
      </c>
      <c r="G203" s="7">
        <v>1</v>
      </c>
      <c r="H203" s="7" t="s">
        <v>45</v>
      </c>
      <c r="I203" s="7">
        <f>(4.7+0.2)*(2.8+0.3)*G203</f>
        <v>15.19</v>
      </c>
      <c r="J203" s="9"/>
      <c r="K203" s="9"/>
    </row>
    <row r="204" ht="200.15" customHeight="1" spans="1:11">
      <c r="A204" s="7">
        <v>202</v>
      </c>
      <c r="B204" s="7" t="s">
        <v>70</v>
      </c>
      <c r="C204" s="7" t="s">
        <v>276</v>
      </c>
      <c r="D204" s="7" t="s">
        <v>146</v>
      </c>
      <c r="E204" s="7"/>
      <c r="F204" s="7" t="s">
        <v>228</v>
      </c>
      <c r="G204" s="7">
        <v>1</v>
      </c>
      <c r="H204" s="7" t="s">
        <v>45</v>
      </c>
      <c r="I204" s="7">
        <f>(3.2+0.2)*(2.8+0.3)*G204</f>
        <v>10.54</v>
      </c>
      <c r="J204" s="9"/>
      <c r="K204" s="9"/>
    </row>
    <row r="205" ht="200.15" customHeight="1" spans="1:11">
      <c r="A205" s="7">
        <v>203</v>
      </c>
      <c r="B205" s="7" t="s">
        <v>70</v>
      </c>
      <c r="C205" s="7" t="s">
        <v>230</v>
      </c>
      <c r="D205" s="7" t="s">
        <v>146</v>
      </c>
      <c r="E205" s="7"/>
      <c r="F205" s="7" t="s">
        <v>296</v>
      </c>
      <c r="G205" s="7">
        <v>1</v>
      </c>
      <c r="H205" s="7" t="s">
        <v>45</v>
      </c>
      <c r="I205" s="7">
        <f>(3.2+0.2)*(2.8+0.3)*G205</f>
        <v>10.54</v>
      </c>
      <c r="J205" s="9"/>
      <c r="K205" s="9"/>
    </row>
    <row r="206" ht="200.15" customHeight="1" spans="1:11">
      <c r="A206" s="7">
        <v>204</v>
      </c>
      <c r="B206" s="7" t="s">
        <v>70</v>
      </c>
      <c r="C206" s="7" t="s">
        <v>262</v>
      </c>
      <c r="D206" s="7" t="s">
        <v>146</v>
      </c>
      <c r="E206" s="7"/>
      <c r="F206" s="7" t="s">
        <v>168</v>
      </c>
      <c r="G206" s="7">
        <v>1</v>
      </c>
      <c r="H206" s="7" t="s">
        <v>45</v>
      </c>
      <c r="I206" s="7">
        <f>(7.6+0.2)*(2.8+0.3)*G206</f>
        <v>24.18</v>
      </c>
      <c r="J206" s="9"/>
      <c r="K206" s="9"/>
    </row>
    <row r="207" ht="200.15" customHeight="1" spans="1:11">
      <c r="A207" s="7">
        <v>205</v>
      </c>
      <c r="B207" s="7" t="s">
        <v>70</v>
      </c>
      <c r="C207" s="7" t="s">
        <v>274</v>
      </c>
      <c r="D207" s="7" t="s">
        <v>146</v>
      </c>
      <c r="E207" s="7"/>
      <c r="F207" s="7" t="s">
        <v>285</v>
      </c>
      <c r="G207" s="7">
        <v>1</v>
      </c>
      <c r="H207" s="7" t="s">
        <v>45</v>
      </c>
      <c r="I207" s="7">
        <f>(4.34+0.2)*(2.8+0.3)*G207</f>
        <v>14.074</v>
      </c>
      <c r="J207" s="9"/>
      <c r="K207" s="9"/>
    </row>
    <row r="208" ht="200.15" customHeight="1" spans="1:11">
      <c r="A208" s="7">
        <v>206</v>
      </c>
      <c r="B208" s="7" t="s">
        <v>70</v>
      </c>
      <c r="C208" s="7" t="s">
        <v>230</v>
      </c>
      <c r="D208" s="7" t="s">
        <v>146</v>
      </c>
      <c r="E208" s="7"/>
      <c r="F208" s="7" t="s">
        <v>296</v>
      </c>
      <c r="G208" s="7">
        <v>1</v>
      </c>
      <c r="H208" s="7" t="s">
        <v>45</v>
      </c>
      <c r="I208" s="7">
        <f>(2.7+0.2)*(2.8+0.3)*G208</f>
        <v>8.99</v>
      </c>
      <c r="J208" s="9"/>
      <c r="K208" s="9"/>
    </row>
    <row r="209" ht="200.15" customHeight="1" spans="1:11">
      <c r="A209" s="7">
        <v>207</v>
      </c>
      <c r="B209" s="7" t="s">
        <v>70</v>
      </c>
      <c r="C209" s="7" t="s">
        <v>280</v>
      </c>
      <c r="D209" s="7" t="s">
        <v>146</v>
      </c>
      <c r="E209" s="7"/>
      <c r="F209" s="7" t="s">
        <v>107</v>
      </c>
      <c r="G209" s="7">
        <v>1</v>
      </c>
      <c r="H209" s="7" t="s">
        <v>45</v>
      </c>
      <c r="I209" s="7">
        <f>(2.3+0.2)*(2.8+0.3)*G209</f>
        <v>7.75</v>
      </c>
      <c r="J209" s="9"/>
      <c r="K209" s="9"/>
    </row>
    <row r="210" ht="200.15" customHeight="1" spans="1:11">
      <c r="A210" s="7">
        <v>208</v>
      </c>
      <c r="B210" s="7" t="s">
        <v>70</v>
      </c>
      <c r="C210" s="7" t="s">
        <v>242</v>
      </c>
      <c r="D210" s="7" t="s">
        <v>146</v>
      </c>
      <c r="E210" s="7"/>
      <c r="F210" s="7" t="s">
        <v>241</v>
      </c>
      <c r="G210" s="7">
        <v>1</v>
      </c>
      <c r="H210" s="7" t="s">
        <v>45</v>
      </c>
      <c r="I210" s="7">
        <f>(1+0.2)*(2.8+0.3)*G210</f>
        <v>3.72</v>
      </c>
      <c r="J210" s="9"/>
      <c r="K210" s="9"/>
    </row>
    <row r="211" ht="200.15" customHeight="1" spans="1:11">
      <c r="A211" s="7">
        <v>209</v>
      </c>
      <c r="B211" s="7" t="s">
        <v>70</v>
      </c>
      <c r="C211" s="7" t="s">
        <v>243</v>
      </c>
      <c r="D211" s="7" t="s">
        <v>146</v>
      </c>
      <c r="E211" s="7"/>
      <c r="F211" s="7" t="s">
        <v>241</v>
      </c>
      <c r="G211" s="7">
        <v>1</v>
      </c>
      <c r="H211" s="7" t="s">
        <v>45</v>
      </c>
      <c r="I211" s="7">
        <f>(1+0.2)*(2.8+0.3)*G211</f>
        <v>3.72</v>
      </c>
      <c r="J211" s="9"/>
      <c r="K211" s="9"/>
    </row>
    <row r="212" ht="200.15" customHeight="1" spans="1:11">
      <c r="A212" s="7">
        <v>210</v>
      </c>
      <c r="B212" s="7" t="s">
        <v>70</v>
      </c>
      <c r="C212" s="7" t="s">
        <v>244</v>
      </c>
      <c r="D212" s="7" t="s">
        <v>146</v>
      </c>
      <c r="E212" s="7"/>
      <c r="F212" s="7" t="s">
        <v>241</v>
      </c>
      <c r="G212" s="7">
        <v>1</v>
      </c>
      <c r="H212" s="7" t="s">
        <v>45</v>
      </c>
      <c r="I212" s="7">
        <f>(1+0.2)*(2.8+0.3)*G212</f>
        <v>3.72</v>
      </c>
      <c r="J212" s="9"/>
      <c r="K212" s="9"/>
    </row>
    <row r="213" ht="200.15" customHeight="1" spans="1:11">
      <c r="A213" s="7">
        <v>211</v>
      </c>
      <c r="B213" s="7" t="s">
        <v>118</v>
      </c>
      <c r="C213" s="7" t="s">
        <v>297</v>
      </c>
      <c r="D213" s="7" t="s">
        <v>146</v>
      </c>
      <c r="E213" s="7"/>
      <c r="F213" s="7" t="s">
        <v>273</v>
      </c>
      <c r="G213" s="7">
        <v>1</v>
      </c>
      <c r="H213" s="7" t="s">
        <v>45</v>
      </c>
      <c r="I213" s="7">
        <f>(1.7+0.2)*(2.8+0.3)*G213</f>
        <v>5.89</v>
      </c>
      <c r="J213" s="9"/>
      <c r="K213" s="9"/>
    </row>
    <row r="214" ht="200.15" customHeight="1" spans="1:11">
      <c r="A214" s="7">
        <v>212</v>
      </c>
      <c r="B214" s="7" t="s">
        <v>118</v>
      </c>
      <c r="C214" s="7" t="s">
        <v>298</v>
      </c>
      <c r="D214" s="7" t="s">
        <v>146</v>
      </c>
      <c r="E214" s="7"/>
      <c r="F214" s="7" t="s">
        <v>299</v>
      </c>
      <c r="G214" s="7">
        <v>2</v>
      </c>
      <c r="H214" s="7" t="s">
        <v>45</v>
      </c>
      <c r="I214" s="7">
        <f>(5.2+0.2+2.3+0.2)*(2.8+0.3)*G214</f>
        <v>48.98</v>
      </c>
      <c r="J214" s="9"/>
      <c r="K214" s="9"/>
    </row>
    <row r="215" ht="200.15" customHeight="1" spans="1:11">
      <c r="A215" s="7">
        <v>213</v>
      </c>
      <c r="B215" s="7" t="s">
        <v>118</v>
      </c>
      <c r="C215" s="7" t="s">
        <v>300</v>
      </c>
      <c r="D215" s="7" t="s">
        <v>146</v>
      </c>
      <c r="E215" s="7"/>
      <c r="F215" s="7" t="s">
        <v>223</v>
      </c>
      <c r="G215" s="7">
        <v>1</v>
      </c>
      <c r="H215" s="7" t="s">
        <v>45</v>
      </c>
      <c r="I215" s="7">
        <f>(2.6+0.2)*(2.8+0.3)*G215</f>
        <v>8.68</v>
      </c>
      <c r="J215" s="9"/>
      <c r="K215" s="9"/>
    </row>
    <row r="216" ht="200.15" customHeight="1" spans="1:11">
      <c r="A216" s="7">
        <v>214</v>
      </c>
      <c r="B216" s="7" t="s">
        <v>118</v>
      </c>
      <c r="C216" s="7" t="s">
        <v>255</v>
      </c>
      <c r="D216" s="7" t="s">
        <v>146</v>
      </c>
      <c r="E216" s="7"/>
      <c r="F216" s="7" t="s">
        <v>275</v>
      </c>
      <c r="G216" s="7">
        <v>1</v>
      </c>
      <c r="H216" s="7" t="s">
        <v>45</v>
      </c>
      <c r="I216" s="7">
        <f>(4.6+0.2)*(2.8+0.3)*G216</f>
        <v>14.88</v>
      </c>
      <c r="J216" s="9"/>
      <c r="K216" s="9"/>
    </row>
    <row r="217" ht="200.15" customHeight="1" spans="1:11">
      <c r="A217" s="7">
        <v>215</v>
      </c>
      <c r="B217" s="7" t="s">
        <v>118</v>
      </c>
      <c r="C217" s="7" t="s">
        <v>131</v>
      </c>
      <c r="D217" s="7" t="s">
        <v>146</v>
      </c>
      <c r="E217" s="7"/>
      <c r="F217" s="7" t="s">
        <v>223</v>
      </c>
      <c r="G217" s="7">
        <v>1</v>
      </c>
      <c r="H217" s="7" t="s">
        <v>45</v>
      </c>
      <c r="I217" s="7">
        <f>(2.6+0.2)*(2.8+0.3)*G217</f>
        <v>8.68</v>
      </c>
      <c r="J217" s="9"/>
      <c r="K217" s="9"/>
    </row>
    <row r="218" ht="200.15" customHeight="1" spans="1:11">
      <c r="A218" s="7">
        <v>216</v>
      </c>
      <c r="B218" s="7" t="s">
        <v>118</v>
      </c>
      <c r="C218" s="7" t="s">
        <v>256</v>
      </c>
      <c r="D218" s="7" t="s">
        <v>146</v>
      </c>
      <c r="E218" s="7"/>
      <c r="F218" s="7" t="s">
        <v>107</v>
      </c>
      <c r="G218" s="7">
        <v>1</v>
      </c>
      <c r="H218" s="7" t="s">
        <v>45</v>
      </c>
      <c r="I218" s="7">
        <f>(2.3+0.2)*(2.8+0.3)*G218</f>
        <v>7.75</v>
      </c>
      <c r="J218" s="9"/>
      <c r="K218" s="9"/>
    </row>
    <row r="219" ht="200.15" customHeight="1" spans="1:11">
      <c r="A219" s="7">
        <v>217</v>
      </c>
      <c r="B219" s="7" t="s">
        <v>118</v>
      </c>
      <c r="C219" s="7" t="s">
        <v>259</v>
      </c>
      <c r="D219" s="7" t="s">
        <v>146</v>
      </c>
      <c r="E219" s="7"/>
      <c r="F219" s="7" t="s">
        <v>301</v>
      </c>
      <c r="G219" s="7">
        <v>6</v>
      </c>
      <c r="H219" s="7" t="s">
        <v>45</v>
      </c>
      <c r="I219" s="7">
        <f>(3.7+0.2)*(2.8+0.3)*G219</f>
        <v>72.54</v>
      </c>
      <c r="J219" s="9"/>
      <c r="K219" s="9"/>
    </row>
    <row r="220" ht="200.15" customHeight="1" spans="1:11">
      <c r="A220" s="7">
        <v>218</v>
      </c>
      <c r="B220" s="7" t="s">
        <v>118</v>
      </c>
      <c r="C220" s="7" t="s">
        <v>302</v>
      </c>
      <c r="D220" s="7" t="s">
        <v>146</v>
      </c>
      <c r="E220" s="7"/>
      <c r="F220" s="7" t="s">
        <v>303</v>
      </c>
      <c r="G220" s="7">
        <v>2</v>
      </c>
      <c r="H220" s="7" t="s">
        <v>45</v>
      </c>
      <c r="I220" s="7">
        <f>(7.65+0.2+6.9+0.2)*(2.8+0.3)*G220</f>
        <v>92.69</v>
      </c>
      <c r="J220" s="9"/>
      <c r="K220" s="9"/>
    </row>
    <row r="221" ht="200.15" customHeight="1" spans="1:11">
      <c r="A221" s="7">
        <v>219</v>
      </c>
      <c r="B221" s="7" t="s">
        <v>118</v>
      </c>
      <c r="C221" s="7" t="s">
        <v>304</v>
      </c>
      <c r="D221" s="7" t="s">
        <v>146</v>
      </c>
      <c r="E221" s="7"/>
      <c r="F221" s="7" t="s">
        <v>305</v>
      </c>
      <c r="G221" s="7">
        <v>2</v>
      </c>
      <c r="H221" s="7" t="s">
        <v>45</v>
      </c>
      <c r="I221" s="7">
        <f>(5.6+0.2+7.6+0.2)*(2.8+0.3)*G221</f>
        <v>84.32</v>
      </c>
      <c r="J221" s="9"/>
      <c r="K221" s="9"/>
    </row>
    <row r="222" ht="200.15" customHeight="1" spans="1:11">
      <c r="A222" s="7">
        <v>220</v>
      </c>
      <c r="B222" s="7" t="s">
        <v>118</v>
      </c>
      <c r="C222" s="7" t="s">
        <v>159</v>
      </c>
      <c r="D222" s="7" t="s">
        <v>146</v>
      </c>
      <c r="E222" s="7"/>
      <c r="F222" s="7" t="s">
        <v>301</v>
      </c>
      <c r="G222" s="7">
        <v>1</v>
      </c>
      <c r="H222" s="7" t="s">
        <v>45</v>
      </c>
      <c r="I222" s="7">
        <f>(3.7+0.2)*(2.8+0.3)*G222</f>
        <v>12.09</v>
      </c>
      <c r="J222" s="9"/>
      <c r="K222" s="9"/>
    </row>
    <row r="223" ht="200.15" customHeight="1" spans="1:11">
      <c r="A223" s="7">
        <v>221</v>
      </c>
      <c r="B223" s="7" t="s">
        <v>118</v>
      </c>
      <c r="C223" s="7" t="s">
        <v>306</v>
      </c>
      <c r="D223" s="7" t="s">
        <v>146</v>
      </c>
      <c r="E223" s="7"/>
      <c r="F223" s="7" t="s">
        <v>307</v>
      </c>
      <c r="G223" s="7">
        <v>3</v>
      </c>
      <c r="H223" s="7" t="s">
        <v>45</v>
      </c>
      <c r="I223" s="7">
        <f>(3.7+0.2+7.6+0.2+7.6+0.2)*(2.8+0.3)*G223</f>
        <v>181.35</v>
      </c>
      <c r="J223" s="9"/>
      <c r="K223" s="9"/>
    </row>
    <row r="224" ht="200.15" customHeight="1" spans="1:11">
      <c r="A224" s="7">
        <v>222</v>
      </c>
      <c r="B224" s="7" t="s">
        <v>118</v>
      </c>
      <c r="C224" s="7" t="s">
        <v>308</v>
      </c>
      <c r="D224" s="7" t="s">
        <v>146</v>
      </c>
      <c r="E224" s="7"/>
      <c r="F224" s="7" t="s">
        <v>90</v>
      </c>
      <c r="G224" s="7">
        <v>1</v>
      </c>
      <c r="H224" s="7" t="s">
        <v>45</v>
      </c>
      <c r="I224" s="7">
        <f>(3.1+0.2)*(2.8+0.3)*G224</f>
        <v>10.23</v>
      </c>
      <c r="J224" s="9"/>
      <c r="K224" s="9"/>
    </row>
    <row r="225" ht="200.15" customHeight="1" spans="1:11">
      <c r="A225" s="7">
        <v>223</v>
      </c>
      <c r="B225" s="7" t="s">
        <v>118</v>
      </c>
      <c r="C225" s="7" t="s">
        <v>174</v>
      </c>
      <c r="D225" s="7" t="s">
        <v>146</v>
      </c>
      <c r="E225" s="7"/>
      <c r="F225" s="7" t="s">
        <v>309</v>
      </c>
      <c r="G225" s="7">
        <v>1</v>
      </c>
      <c r="H225" s="7" t="s">
        <v>45</v>
      </c>
      <c r="I225" s="7">
        <f>(3.9+0.2)*(2.8+0.3)*G225</f>
        <v>12.71</v>
      </c>
      <c r="J225" s="9"/>
      <c r="K225" s="9"/>
    </row>
    <row r="226" ht="200.15" customHeight="1" spans="1:11">
      <c r="A226" s="7">
        <v>224</v>
      </c>
      <c r="B226" s="7" t="s">
        <v>118</v>
      </c>
      <c r="C226" s="7" t="s">
        <v>280</v>
      </c>
      <c r="D226" s="7" t="s">
        <v>146</v>
      </c>
      <c r="E226" s="7"/>
      <c r="F226" s="7" t="s">
        <v>310</v>
      </c>
      <c r="G226" s="7">
        <v>2</v>
      </c>
      <c r="H226" s="7" t="s">
        <v>45</v>
      </c>
      <c r="I226" s="7">
        <f>(4.3+0.2+3.1+0.2)*(2.8+0.3)*G226</f>
        <v>48.36</v>
      </c>
      <c r="J226" s="9"/>
      <c r="K226" s="9"/>
    </row>
    <row r="227" ht="200.15" customHeight="1" spans="1:11">
      <c r="A227" s="7">
        <v>225</v>
      </c>
      <c r="B227" s="7" t="s">
        <v>122</v>
      </c>
      <c r="C227" s="7" t="s">
        <v>311</v>
      </c>
      <c r="D227" s="7" t="s">
        <v>146</v>
      </c>
      <c r="E227" s="7"/>
      <c r="F227" s="7" t="s">
        <v>312</v>
      </c>
      <c r="G227" s="7">
        <v>2</v>
      </c>
      <c r="H227" s="7" t="s">
        <v>45</v>
      </c>
      <c r="I227" s="7">
        <f>(7.6+0.2+8.8+0.2)*(2.8+0.3)*G227</f>
        <v>104.16</v>
      </c>
      <c r="J227" s="9"/>
      <c r="K227" s="9"/>
    </row>
    <row r="228" ht="200.15" customHeight="1" spans="1:11">
      <c r="A228" s="7">
        <v>226</v>
      </c>
      <c r="B228" s="7" t="s">
        <v>122</v>
      </c>
      <c r="C228" s="7" t="s">
        <v>313</v>
      </c>
      <c r="D228" s="7" t="s">
        <v>146</v>
      </c>
      <c r="E228" s="7"/>
      <c r="F228" s="7" t="s">
        <v>314</v>
      </c>
      <c r="G228" s="7">
        <v>2</v>
      </c>
      <c r="H228" s="7" t="s">
        <v>45</v>
      </c>
      <c r="I228" s="7">
        <f>(7.6+0.2+5.1+0.2)*(2.8+0.3)*G228</f>
        <v>81.22</v>
      </c>
      <c r="J228" s="9"/>
      <c r="K228" s="9"/>
    </row>
    <row r="229" ht="200.15" customHeight="1" spans="1:11">
      <c r="A229" s="7">
        <v>227</v>
      </c>
      <c r="B229" s="7" t="s">
        <v>122</v>
      </c>
      <c r="C229" s="7" t="s">
        <v>315</v>
      </c>
      <c r="D229" s="7" t="s">
        <v>146</v>
      </c>
      <c r="E229" s="7"/>
      <c r="F229" s="7" t="s">
        <v>316</v>
      </c>
      <c r="G229" s="7">
        <v>4</v>
      </c>
      <c r="H229" s="7" t="s">
        <v>45</v>
      </c>
      <c r="I229" s="7">
        <f>(7.6+0.2+7.6+0.2+2.3+0.2+2.3+0.2)*(2.8+0.3)*G229</f>
        <v>255.44</v>
      </c>
      <c r="J229" s="9"/>
      <c r="K229" s="9"/>
    </row>
    <row r="230" ht="200.15" customHeight="1" spans="1:11">
      <c r="A230" s="7">
        <v>228</v>
      </c>
      <c r="B230" s="7" t="s">
        <v>122</v>
      </c>
      <c r="C230" s="7" t="s">
        <v>317</v>
      </c>
      <c r="D230" s="7" t="s">
        <v>146</v>
      </c>
      <c r="E230" s="7"/>
      <c r="F230" s="7" t="s">
        <v>107</v>
      </c>
      <c r="G230" s="7">
        <v>5</v>
      </c>
      <c r="H230" s="7" t="s">
        <v>45</v>
      </c>
      <c r="I230" s="7">
        <f>(3.2+0.2)*(2.8+0.3)*G230</f>
        <v>52.7</v>
      </c>
      <c r="J230" s="9"/>
      <c r="K230" s="9"/>
    </row>
    <row r="231" ht="200.15" customHeight="1" spans="1:11">
      <c r="A231" s="7">
        <v>229</v>
      </c>
      <c r="B231" s="7" t="s">
        <v>122</v>
      </c>
      <c r="C231" s="7" t="s">
        <v>131</v>
      </c>
      <c r="D231" s="7" t="s">
        <v>146</v>
      </c>
      <c r="E231" s="7"/>
      <c r="F231" s="7" t="s">
        <v>107</v>
      </c>
      <c r="G231" s="7">
        <v>1</v>
      </c>
      <c r="H231" s="7" t="s">
        <v>45</v>
      </c>
      <c r="I231" s="7">
        <f>(2.3+0.2)*(2.8+0.3)*G231</f>
        <v>7.75</v>
      </c>
      <c r="J231" s="9"/>
      <c r="K231" s="9"/>
    </row>
    <row r="232" ht="200.15" customHeight="1" spans="1:11">
      <c r="A232" s="7">
        <v>230</v>
      </c>
      <c r="B232" s="7" t="s">
        <v>122</v>
      </c>
      <c r="C232" s="7" t="s">
        <v>318</v>
      </c>
      <c r="D232" s="7" t="s">
        <v>146</v>
      </c>
      <c r="E232" s="7"/>
      <c r="F232" s="7" t="s">
        <v>319</v>
      </c>
      <c r="G232" s="7">
        <v>2</v>
      </c>
      <c r="H232" s="7" t="s">
        <v>45</v>
      </c>
      <c r="I232" s="7">
        <f>(1.018+0.2+7.556+0.2)*(2.8+0.3)*G232</f>
        <v>55.6388</v>
      </c>
      <c r="J232" s="9"/>
      <c r="K232" s="9"/>
    </row>
    <row r="233" ht="200.15" customHeight="1" spans="1:11">
      <c r="A233" s="7">
        <v>231</v>
      </c>
      <c r="B233" s="7" t="s">
        <v>122</v>
      </c>
      <c r="C233" s="7" t="s">
        <v>320</v>
      </c>
      <c r="D233" s="7" t="s">
        <v>146</v>
      </c>
      <c r="E233" s="7"/>
      <c r="F233" s="7" t="s">
        <v>278</v>
      </c>
      <c r="G233" s="7">
        <v>2</v>
      </c>
      <c r="H233" s="7" t="s">
        <v>45</v>
      </c>
      <c r="I233" s="7">
        <f>(2.5+0.2)*(2.8+0.3)*G233</f>
        <v>16.74</v>
      </c>
      <c r="J233" s="9"/>
      <c r="K233" s="9"/>
    </row>
    <row r="234" ht="200.15" customHeight="1" spans="1:11">
      <c r="A234" s="7">
        <v>232</v>
      </c>
      <c r="B234" s="7" t="s">
        <v>122</v>
      </c>
      <c r="C234" s="7" t="s">
        <v>321</v>
      </c>
      <c r="D234" s="7" t="s">
        <v>146</v>
      </c>
      <c r="E234" s="7"/>
      <c r="F234" s="7" t="s">
        <v>322</v>
      </c>
      <c r="G234" s="7">
        <v>1</v>
      </c>
      <c r="H234" s="7" t="s">
        <v>45</v>
      </c>
      <c r="I234" s="7">
        <f>(2.816+0.2)*(2.8+0.3)*G234</f>
        <v>9.3496</v>
      </c>
      <c r="J234" s="9"/>
      <c r="K234" s="9"/>
    </row>
    <row r="235" ht="200.15" customHeight="1" spans="1:11">
      <c r="A235" s="7">
        <v>233</v>
      </c>
      <c r="B235" s="7" t="s">
        <v>122</v>
      </c>
      <c r="C235" s="7" t="s">
        <v>216</v>
      </c>
      <c r="D235" s="7" t="s">
        <v>146</v>
      </c>
      <c r="E235" s="7"/>
      <c r="F235" s="7" t="s">
        <v>323</v>
      </c>
      <c r="G235" s="7">
        <v>3</v>
      </c>
      <c r="H235" s="7" t="s">
        <v>45</v>
      </c>
      <c r="I235" s="7">
        <f>(3.316+0.2+1.635+0.2+1.065+0.2)*(2.8+0.3)*G235</f>
        <v>61.5288</v>
      </c>
      <c r="J235" s="9"/>
      <c r="K235" s="9"/>
    </row>
    <row r="236" ht="200.15" customHeight="1" spans="1:11">
      <c r="A236" s="7">
        <v>234</v>
      </c>
      <c r="B236" s="7" t="s">
        <v>122</v>
      </c>
      <c r="C236" s="7" t="s">
        <v>324</v>
      </c>
      <c r="D236" s="7" t="s">
        <v>146</v>
      </c>
      <c r="E236" s="7"/>
      <c r="F236" s="7" t="s">
        <v>325</v>
      </c>
      <c r="G236" s="7">
        <v>2</v>
      </c>
      <c r="H236" s="7" t="s">
        <v>45</v>
      </c>
      <c r="I236" s="7">
        <f>(6.1+0.5+7.7+0.5)*(2.8+0.3)*G236</f>
        <v>91.76</v>
      </c>
      <c r="J236" s="9"/>
      <c r="K236" s="9"/>
    </row>
    <row r="237" ht="200.15" customHeight="1" spans="1:11">
      <c r="A237" s="7">
        <v>235</v>
      </c>
      <c r="B237" s="7" t="s">
        <v>122</v>
      </c>
      <c r="C237" s="7" t="s">
        <v>326</v>
      </c>
      <c r="D237" s="7" t="s">
        <v>146</v>
      </c>
      <c r="E237" s="7"/>
      <c r="F237" s="7" t="s">
        <v>140</v>
      </c>
      <c r="G237" s="7">
        <v>1</v>
      </c>
      <c r="H237" s="7" t="s">
        <v>45</v>
      </c>
      <c r="I237" s="7">
        <f>(4+0.2)*(2.8+0.3)*G237</f>
        <v>13.02</v>
      </c>
      <c r="J237" s="9"/>
      <c r="K237" s="9"/>
    </row>
    <row r="238" ht="200.15" customHeight="1" spans="1:11">
      <c r="A238" s="7">
        <v>236</v>
      </c>
      <c r="B238" s="7" t="s">
        <v>122</v>
      </c>
      <c r="C238" s="7" t="s">
        <v>327</v>
      </c>
      <c r="D238" s="7" t="s">
        <v>146</v>
      </c>
      <c r="E238" s="7"/>
      <c r="F238" s="7" t="s">
        <v>328</v>
      </c>
      <c r="G238" s="7">
        <v>1</v>
      </c>
      <c r="H238" s="7" t="s">
        <v>45</v>
      </c>
      <c r="I238" s="7">
        <f>(12.4+2)*(2.8+0.3)*G238</f>
        <v>44.64</v>
      </c>
      <c r="J238" s="9"/>
      <c r="K238" s="9"/>
    </row>
    <row r="239" ht="200.15" customHeight="1" spans="1:11">
      <c r="A239" s="7">
        <v>237</v>
      </c>
      <c r="B239" s="7" t="s">
        <v>122</v>
      </c>
      <c r="C239" s="7" t="s">
        <v>329</v>
      </c>
      <c r="D239" s="7" t="s">
        <v>146</v>
      </c>
      <c r="E239" s="7"/>
      <c r="F239" s="7" t="s">
        <v>330</v>
      </c>
      <c r="G239" s="7">
        <v>1</v>
      </c>
      <c r="H239" s="7" t="s">
        <v>45</v>
      </c>
      <c r="I239" s="7">
        <f>(16.6+2)*(2.8+0.3)*G239</f>
        <v>57.66</v>
      </c>
      <c r="J239" s="9"/>
      <c r="K239" s="9"/>
    </row>
    <row r="240" ht="200.15" customHeight="1" spans="1:11">
      <c r="A240" s="7">
        <v>238</v>
      </c>
      <c r="B240" s="7" t="s">
        <v>122</v>
      </c>
      <c r="C240" s="7" t="s">
        <v>331</v>
      </c>
      <c r="D240" s="7" t="s">
        <v>146</v>
      </c>
      <c r="E240" s="7"/>
      <c r="F240" s="7" t="s">
        <v>332</v>
      </c>
      <c r="G240" s="7">
        <v>1</v>
      </c>
      <c r="H240" s="7" t="s">
        <v>45</v>
      </c>
      <c r="I240" s="7">
        <f>(12.7+2)*(2.8+0.3)*G240</f>
        <v>45.57</v>
      </c>
      <c r="J240" s="9"/>
      <c r="K240" s="9"/>
    </row>
    <row r="241" ht="200.15" customHeight="1" spans="1:11">
      <c r="A241" s="7">
        <v>239</v>
      </c>
      <c r="B241" s="7" t="s">
        <v>122</v>
      </c>
      <c r="C241" s="7" t="s">
        <v>174</v>
      </c>
      <c r="D241" s="7" t="s">
        <v>146</v>
      </c>
      <c r="E241" s="7"/>
      <c r="F241" s="7" t="s">
        <v>140</v>
      </c>
      <c r="G241" s="7">
        <v>1</v>
      </c>
      <c r="H241" s="7" t="s">
        <v>45</v>
      </c>
      <c r="I241" s="7">
        <f>(4+0.2)*(2.8+0.3)*G241</f>
        <v>13.02</v>
      </c>
      <c r="J241" s="9"/>
      <c r="K241" s="9"/>
    </row>
    <row r="242" ht="200.15" customHeight="1" spans="1:11">
      <c r="A242" s="7">
        <v>240</v>
      </c>
      <c r="B242" s="7" t="s">
        <v>122</v>
      </c>
      <c r="C242" s="7" t="s">
        <v>333</v>
      </c>
      <c r="D242" s="7" t="s">
        <v>146</v>
      </c>
      <c r="E242" s="7"/>
      <c r="F242" s="7" t="s">
        <v>334</v>
      </c>
      <c r="G242" s="7">
        <v>1</v>
      </c>
      <c r="H242" s="7" t="s">
        <v>45</v>
      </c>
      <c r="I242" s="7">
        <f>(7.9+0.5)*(2.8+0.3)*G242</f>
        <v>26.04</v>
      </c>
      <c r="J242" s="9"/>
      <c r="K242" s="9"/>
    </row>
    <row r="243" ht="200.15" customHeight="1" spans="1:11">
      <c r="A243" s="7">
        <v>241</v>
      </c>
      <c r="B243" s="7" t="s">
        <v>122</v>
      </c>
      <c r="C243" s="7" t="s">
        <v>280</v>
      </c>
      <c r="D243" s="7" t="s">
        <v>146</v>
      </c>
      <c r="E243" s="7"/>
      <c r="F243" s="7" t="s">
        <v>335</v>
      </c>
      <c r="G243" s="7">
        <v>2</v>
      </c>
      <c r="H243" s="7" t="s">
        <v>45</v>
      </c>
      <c r="I243" s="7">
        <f>(3.2+0.2+4.5+0.2)*(2.8+0.3)*G243</f>
        <v>50.22</v>
      </c>
      <c r="J243" s="9"/>
      <c r="K243" s="9"/>
    </row>
    <row r="244" ht="200.15" customHeight="1" spans="1:11">
      <c r="A244" s="7">
        <v>242</v>
      </c>
      <c r="B244" s="7" t="s">
        <v>122</v>
      </c>
      <c r="C244" s="7" t="s">
        <v>231</v>
      </c>
      <c r="D244" s="7" t="s">
        <v>146</v>
      </c>
      <c r="E244" s="7"/>
      <c r="F244" s="7" t="s">
        <v>103</v>
      </c>
      <c r="G244" s="7">
        <v>1</v>
      </c>
      <c r="H244" s="7" t="s">
        <v>45</v>
      </c>
      <c r="I244" s="7">
        <f>(2.45+0.2)*(2.8+0.3)*G244</f>
        <v>8.215</v>
      </c>
      <c r="J244" s="9"/>
      <c r="K244" s="9"/>
    </row>
    <row r="245" ht="200.15" customHeight="1" spans="1:11">
      <c r="A245" s="7">
        <v>243</v>
      </c>
      <c r="B245" s="7" t="s">
        <v>336</v>
      </c>
      <c r="C245" s="7" t="s">
        <v>337</v>
      </c>
      <c r="D245" s="7" t="s">
        <v>146</v>
      </c>
      <c r="E245" s="7"/>
      <c r="F245" s="7" t="s">
        <v>338</v>
      </c>
      <c r="G245" s="7">
        <v>2</v>
      </c>
      <c r="H245" s="7" t="s">
        <v>45</v>
      </c>
      <c r="I245" s="7">
        <f>(7.6+0.5+3.7+0.2)*(2.8+0.3)*G245</f>
        <v>74.4</v>
      </c>
      <c r="J245" s="9"/>
      <c r="K245" s="9"/>
    </row>
    <row r="246" ht="200.15" customHeight="1" spans="1:11">
      <c r="A246" s="7">
        <v>244</v>
      </c>
      <c r="B246" s="7" t="s">
        <v>336</v>
      </c>
      <c r="C246" s="7" t="s">
        <v>302</v>
      </c>
      <c r="D246" s="7" t="s">
        <v>146</v>
      </c>
      <c r="E246" s="7"/>
      <c r="F246" s="7" t="s">
        <v>339</v>
      </c>
      <c r="G246" s="7">
        <v>1</v>
      </c>
      <c r="H246" s="7" t="s">
        <v>45</v>
      </c>
      <c r="I246" s="7">
        <f>(5+0.4)*(2.8+0.3)*G246</f>
        <v>16.74</v>
      </c>
      <c r="J246" s="9"/>
      <c r="K246" s="9"/>
    </row>
    <row r="247" ht="200.15" customHeight="1" spans="1:11">
      <c r="A247" s="7">
        <v>245</v>
      </c>
      <c r="B247" s="7" t="s">
        <v>336</v>
      </c>
      <c r="C247" s="7" t="s">
        <v>340</v>
      </c>
      <c r="D247" s="7" t="s">
        <v>146</v>
      </c>
      <c r="E247" s="7"/>
      <c r="F247" s="7" t="s">
        <v>341</v>
      </c>
      <c r="G247" s="7">
        <v>2</v>
      </c>
      <c r="H247" s="7" t="s">
        <v>45</v>
      </c>
      <c r="I247" s="7">
        <f>(2+0.2+2.7+0.2)*(2.8+0.3)*G247</f>
        <v>31.62</v>
      </c>
      <c r="J247" s="9"/>
      <c r="K247" s="9"/>
    </row>
    <row r="248" ht="200.15" customHeight="1" spans="1:11">
      <c r="A248" s="7">
        <v>246</v>
      </c>
      <c r="B248" s="7" t="s">
        <v>336</v>
      </c>
      <c r="C248" s="7" t="s">
        <v>342</v>
      </c>
      <c r="D248" s="7" t="s">
        <v>146</v>
      </c>
      <c r="E248" s="7"/>
      <c r="F248" s="7" t="s">
        <v>296</v>
      </c>
      <c r="G248" s="7">
        <v>1</v>
      </c>
      <c r="H248" s="7" t="s">
        <v>45</v>
      </c>
      <c r="I248" s="7">
        <f>(2.7+0.2)*(2.8+0.3)*G248</f>
        <v>8.99</v>
      </c>
      <c r="J248" s="9"/>
      <c r="K248" s="9"/>
    </row>
    <row r="249" ht="200.15" customHeight="1" spans="1:11">
      <c r="A249" s="7">
        <v>247</v>
      </c>
      <c r="B249" s="7" t="s">
        <v>336</v>
      </c>
      <c r="C249" s="7" t="s">
        <v>343</v>
      </c>
      <c r="D249" s="7" t="s">
        <v>146</v>
      </c>
      <c r="E249" s="7"/>
      <c r="F249" s="7" t="s">
        <v>344</v>
      </c>
      <c r="G249" s="7">
        <v>1</v>
      </c>
      <c r="H249" s="7" t="s">
        <v>45</v>
      </c>
      <c r="I249" s="7">
        <f>(3.75+0.2)*(2.8+0.3)*G249</f>
        <v>12.245</v>
      </c>
      <c r="J249" s="9"/>
      <c r="K249" s="9"/>
    </row>
    <row r="250" ht="200.15" customHeight="1" spans="1:11">
      <c r="A250" s="7">
        <v>248</v>
      </c>
      <c r="B250" s="7" t="s">
        <v>336</v>
      </c>
      <c r="C250" s="7" t="s">
        <v>345</v>
      </c>
      <c r="D250" s="7" t="s">
        <v>146</v>
      </c>
      <c r="E250" s="7"/>
      <c r="F250" s="7" t="s">
        <v>344</v>
      </c>
      <c r="G250" s="7">
        <v>1</v>
      </c>
      <c r="H250" s="7" t="s">
        <v>45</v>
      </c>
      <c r="I250" s="7">
        <f>(3.75+0.2)*(2.8+0.3)*G250</f>
        <v>12.245</v>
      </c>
      <c r="J250" s="9"/>
      <c r="K250" s="9"/>
    </row>
    <row r="251" ht="200.15" customHeight="1" spans="1:11">
      <c r="A251" s="7">
        <v>249</v>
      </c>
      <c r="B251" s="7" t="s">
        <v>336</v>
      </c>
      <c r="C251" s="7" t="s">
        <v>245</v>
      </c>
      <c r="D251" s="7" t="s">
        <v>146</v>
      </c>
      <c r="E251" s="7"/>
      <c r="F251" s="7" t="s">
        <v>168</v>
      </c>
      <c r="G251" s="7">
        <v>1</v>
      </c>
      <c r="H251" s="7" t="s">
        <v>45</v>
      </c>
      <c r="I251" s="7">
        <f>(7.6+0.5)*(2.8+0.3)*G251</f>
        <v>25.11</v>
      </c>
      <c r="J251" s="9"/>
      <c r="K251" s="9"/>
    </row>
    <row r="252" ht="200.15" customHeight="1" spans="1:11">
      <c r="A252" s="7">
        <v>250</v>
      </c>
      <c r="B252" s="7" t="s">
        <v>336</v>
      </c>
      <c r="C252" s="7" t="s">
        <v>262</v>
      </c>
      <c r="D252" s="7" t="s">
        <v>146</v>
      </c>
      <c r="E252" s="7"/>
      <c r="F252" s="7" t="s">
        <v>346</v>
      </c>
      <c r="G252" s="7">
        <v>1</v>
      </c>
      <c r="H252" s="7" t="s">
        <v>45</v>
      </c>
      <c r="I252" s="7">
        <f>(2.75+0.2)*(2.8+0.3)*G252</f>
        <v>9.145</v>
      </c>
      <c r="J252" s="9"/>
      <c r="K252" s="9"/>
    </row>
    <row r="253" ht="200.15" customHeight="1" spans="1:11">
      <c r="A253" s="7">
        <v>251</v>
      </c>
      <c r="B253" s="7" t="s">
        <v>336</v>
      </c>
      <c r="C253" s="7" t="s">
        <v>347</v>
      </c>
      <c r="D253" s="7" t="s">
        <v>348</v>
      </c>
      <c r="E253" s="7"/>
      <c r="F253" s="7" t="s">
        <v>349</v>
      </c>
      <c r="G253" s="7">
        <v>1</v>
      </c>
      <c r="H253" s="7" t="s">
        <v>45</v>
      </c>
      <c r="I253" s="7">
        <f>(4.58+0.4)*(2.8+0.3)*G253</f>
        <v>15.438</v>
      </c>
      <c r="J253" s="9"/>
      <c r="K253" s="9"/>
    </row>
    <row r="254" ht="200.15" customHeight="1" spans="1:11">
      <c r="A254" s="7">
        <v>252</v>
      </c>
      <c r="B254" s="7" t="s">
        <v>336</v>
      </c>
      <c r="C254" s="7" t="s">
        <v>350</v>
      </c>
      <c r="D254" s="7" t="s">
        <v>348</v>
      </c>
      <c r="E254" s="7"/>
      <c r="F254" s="7" t="s">
        <v>351</v>
      </c>
      <c r="G254" s="7">
        <v>1</v>
      </c>
      <c r="H254" s="7" t="s">
        <v>45</v>
      </c>
      <c r="I254" s="7">
        <f>(2.25+0.2)*(2.8+0.3)*G254</f>
        <v>7.595</v>
      </c>
      <c r="J254" s="9"/>
      <c r="K254" s="9"/>
    </row>
    <row r="255" ht="200.15" customHeight="1" spans="1:11">
      <c r="A255" s="7">
        <v>253</v>
      </c>
      <c r="B255" s="7" t="s">
        <v>336</v>
      </c>
      <c r="C255" s="7" t="s">
        <v>352</v>
      </c>
      <c r="D255" s="7" t="s">
        <v>348</v>
      </c>
      <c r="E255" s="7"/>
      <c r="F255" s="7" t="s">
        <v>114</v>
      </c>
      <c r="G255" s="7">
        <v>1</v>
      </c>
      <c r="H255" s="7" t="s">
        <v>45</v>
      </c>
      <c r="I255" s="7">
        <f>(3+0.2)*(2.8+0.3)*G255</f>
        <v>9.92</v>
      </c>
      <c r="J255" s="9"/>
      <c r="K255" s="9"/>
    </row>
    <row r="256" ht="200.15" customHeight="1" spans="1:11">
      <c r="A256" s="7">
        <v>254</v>
      </c>
      <c r="B256" s="7" t="s">
        <v>336</v>
      </c>
      <c r="C256" s="7" t="s">
        <v>353</v>
      </c>
      <c r="D256" s="7" t="s">
        <v>348</v>
      </c>
      <c r="E256" s="7"/>
      <c r="F256" s="7" t="s">
        <v>351</v>
      </c>
      <c r="G256" s="7">
        <v>1</v>
      </c>
      <c r="H256" s="7" t="s">
        <v>45</v>
      </c>
      <c r="I256" s="7">
        <f>(2.25+0.2)*(2.8+0.3)*G256</f>
        <v>7.595</v>
      </c>
      <c r="J256" s="9"/>
      <c r="K256" s="9"/>
    </row>
    <row r="257" ht="200.15" customHeight="1" spans="1:11">
      <c r="A257" s="7">
        <v>255</v>
      </c>
      <c r="B257" s="7" t="s">
        <v>336</v>
      </c>
      <c r="C257" s="7" t="s">
        <v>354</v>
      </c>
      <c r="D257" s="7" t="s">
        <v>348</v>
      </c>
      <c r="E257" s="7"/>
      <c r="F257" s="7" t="s">
        <v>301</v>
      </c>
      <c r="G257" s="7">
        <v>1</v>
      </c>
      <c r="H257" s="7" t="s">
        <v>45</v>
      </c>
      <c r="I257" s="7">
        <f>(3.7+0.2)*(2.8+0.3)*G257</f>
        <v>12.09</v>
      </c>
      <c r="J257" s="9"/>
      <c r="K257" s="9"/>
    </row>
    <row r="258" ht="200.15" customHeight="1" spans="1:11">
      <c r="A258" s="7">
        <v>256</v>
      </c>
      <c r="B258" s="7" t="s">
        <v>336</v>
      </c>
      <c r="C258" s="7" t="s">
        <v>355</v>
      </c>
      <c r="D258" s="7" t="s">
        <v>348</v>
      </c>
      <c r="E258" s="7"/>
      <c r="F258" s="7" t="s">
        <v>356</v>
      </c>
      <c r="G258" s="7">
        <v>1</v>
      </c>
      <c r="H258" s="7" t="s">
        <v>45</v>
      </c>
      <c r="I258" s="7">
        <f>(3.85+0.2)*(2.8+0.3)*G258</f>
        <v>12.555</v>
      </c>
      <c r="J258" s="9"/>
      <c r="K258" s="9"/>
    </row>
    <row r="259" ht="200.15" customHeight="1" spans="1:11">
      <c r="A259" s="7">
        <v>257</v>
      </c>
      <c r="B259" s="7" t="s">
        <v>336</v>
      </c>
      <c r="C259" s="7" t="s">
        <v>357</v>
      </c>
      <c r="D259" s="7" t="s">
        <v>348</v>
      </c>
      <c r="E259" s="7"/>
      <c r="F259" s="7" t="s">
        <v>181</v>
      </c>
      <c r="G259" s="7">
        <v>1</v>
      </c>
      <c r="H259" s="7" t="s">
        <v>45</v>
      </c>
      <c r="I259" s="7">
        <f>(5.6+0.2)*(2.8+0.3)*G259</f>
        <v>17.98</v>
      </c>
      <c r="J259" s="9"/>
      <c r="K259" s="9"/>
    </row>
    <row r="260" ht="200.15" customHeight="1" spans="1:11">
      <c r="A260" s="7">
        <v>258</v>
      </c>
      <c r="B260" s="7" t="s">
        <v>336</v>
      </c>
      <c r="C260" s="7" t="s">
        <v>358</v>
      </c>
      <c r="D260" s="7" t="s">
        <v>348</v>
      </c>
      <c r="E260" s="7"/>
      <c r="F260" s="7" t="s">
        <v>296</v>
      </c>
      <c r="G260" s="7">
        <v>1</v>
      </c>
      <c r="H260" s="7" t="s">
        <v>45</v>
      </c>
      <c r="I260" s="7">
        <f>(2.7+0.2)*(2.8+0.3)*G260</f>
        <v>8.99</v>
      </c>
      <c r="J260" s="9"/>
      <c r="K260" s="9"/>
    </row>
    <row r="261" ht="200.15" customHeight="1" spans="1:11">
      <c r="A261" s="7">
        <v>259</v>
      </c>
      <c r="B261" s="7" t="s">
        <v>336</v>
      </c>
      <c r="C261" s="7" t="s">
        <v>320</v>
      </c>
      <c r="D261" s="7" t="s">
        <v>146</v>
      </c>
      <c r="E261" s="7"/>
      <c r="F261" s="7" t="s">
        <v>278</v>
      </c>
      <c r="G261" s="7">
        <v>1</v>
      </c>
      <c r="H261" s="7" t="s">
        <v>45</v>
      </c>
      <c r="I261" s="7">
        <f>(2.5+0.2)*(2.8+0.3)*G261</f>
        <v>8.37</v>
      </c>
      <c r="J261" s="9"/>
      <c r="K261" s="9"/>
    </row>
    <row r="262" ht="200.15" customHeight="1" spans="1:11">
      <c r="A262" s="7">
        <v>260</v>
      </c>
      <c r="B262" s="7" t="s">
        <v>336</v>
      </c>
      <c r="C262" s="7" t="s">
        <v>359</v>
      </c>
      <c r="D262" s="7" t="s">
        <v>348</v>
      </c>
      <c r="E262" s="7"/>
      <c r="F262" s="7" t="s">
        <v>360</v>
      </c>
      <c r="G262" s="7">
        <v>1</v>
      </c>
      <c r="H262" s="7" t="s">
        <v>45</v>
      </c>
      <c r="I262" s="7">
        <f>(4.291+0.2)*(2.8+0.3)*G262</f>
        <v>13.9221</v>
      </c>
      <c r="J262" s="9"/>
      <c r="K262" s="9"/>
    </row>
    <row r="263" ht="200.15" customHeight="1" spans="1:11">
      <c r="A263" s="7">
        <v>261</v>
      </c>
      <c r="B263" s="7" t="s">
        <v>336</v>
      </c>
      <c r="C263" s="7" t="s">
        <v>361</v>
      </c>
      <c r="D263" s="7" t="s">
        <v>348</v>
      </c>
      <c r="E263" s="7"/>
      <c r="F263" s="7" t="s">
        <v>362</v>
      </c>
      <c r="G263" s="7">
        <v>2</v>
      </c>
      <c r="H263" s="7" t="s">
        <v>45</v>
      </c>
      <c r="I263" s="7">
        <f>(3.608+0.2+1.239+0.2)*(2.8+0.3)*G263</f>
        <v>32.5314</v>
      </c>
      <c r="J263" s="9"/>
      <c r="K263" s="9"/>
    </row>
    <row r="264" ht="200.15" customHeight="1" spans="1:11">
      <c r="A264" s="7">
        <v>262</v>
      </c>
      <c r="B264" s="7" t="s">
        <v>336</v>
      </c>
      <c r="C264" s="7" t="s">
        <v>280</v>
      </c>
      <c r="D264" s="7" t="s">
        <v>146</v>
      </c>
      <c r="E264" s="7"/>
      <c r="F264" s="7" t="s">
        <v>363</v>
      </c>
      <c r="G264" s="7">
        <v>3</v>
      </c>
      <c r="H264" s="7" t="s">
        <v>45</v>
      </c>
      <c r="I264" s="7">
        <f>(2.9+0.2+3.1+0.2+3.6+0.2)*(2.8+0.3)*G264</f>
        <v>94.86</v>
      </c>
      <c r="J264" s="9"/>
      <c r="K264" s="9"/>
    </row>
    <row r="265" ht="200.15" customHeight="1" spans="1:11">
      <c r="A265" s="7">
        <v>263</v>
      </c>
      <c r="B265" s="7" t="s">
        <v>336</v>
      </c>
      <c r="C265" s="7" t="s">
        <v>364</v>
      </c>
      <c r="D265" s="7" t="s">
        <v>348</v>
      </c>
      <c r="E265" s="7"/>
      <c r="F265" s="7" t="s">
        <v>365</v>
      </c>
      <c r="G265" s="7">
        <v>1</v>
      </c>
      <c r="H265" s="7" t="s">
        <v>45</v>
      </c>
      <c r="I265" s="7">
        <f>(3.55+0.2)*(2.8+0.3)*G265</f>
        <v>11.625</v>
      </c>
      <c r="J265" s="9"/>
      <c r="K265" s="9"/>
    </row>
    <row r="266" ht="200.15" customHeight="1" spans="1:11">
      <c r="A266" s="7">
        <v>264</v>
      </c>
      <c r="B266" s="7" t="s">
        <v>336</v>
      </c>
      <c r="C266" s="7" t="s">
        <v>366</v>
      </c>
      <c r="D266" s="7" t="s">
        <v>348</v>
      </c>
      <c r="E266" s="7"/>
      <c r="F266" s="7" t="s">
        <v>356</v>
      </c>
      <c r="G266" s="7">
        <v>1</v>
      </c>
      <c r="H266" s="7" t="s">
        <v>45</v>
      </c>
      <c r="I266" s="7">
        <f>(3.85+0.2)*(2.8+0.3)*G266</f>
        <v>12.555</v>
      </c>
      <c r="J266" s="9"/>
      <c r="K266" s="9"/>
    </row>
    <row r="267" ht="200.15" customHeight="1" spans="1:11">
      <c r="A267" s="7">
        <v>265</v>
      </c>
      <c r="B267" s="7" t="s">
        <v>336</v>
      </c>
      <c r="C267" s="7" t="s">
        <v>367</v>
      </c>
      <c r="D267" s="7" t="s">
        <v>348</v>
      </c>
      <c r="E267" s="7"/>
      <c r="F267" s="7" t="s">
        <v>368</v>
      </c>
      <c r="G267" s="7">
        <v>1</v>
      </c>
      <c r="H267" s="7" t="s">
        <v>45</v>
      </c>
      <c r="I267" s="7">
        <f>(5.075+0.5)*(2.8+0.3)*G267</f>
        <v>17.2825</v>
      </c>
      <c r="J267" s="9"/>
      <c r="K267" s="9"/>
    </row>
    <row r="268" ht="200.15" customHeight="1" spans="1:11">
      <c r="A268" s="7">
        <v>266</v>
      </c>
      <c r="B268" s="7" t="s">
        <v>336</v>
      </c>
      <c r="C268" s="7" t="s">
        <v>369</v>
      </c>
      <c r="D268" s="7" t="s">
        <v>348</v>
      </c>
      <c r="E268" s="7"/>
      <c r="F268" s="7" t="s">
        <v>370</v>
      </c>
      <c r="G268" s="7">
        <v>1</v>
      </c>
      <c r="H268" s="7" t="s">
        <v>45</v>
      </c>
      <c r="I268" s="7">
        <f>(5.555+0.5)*(2.8+0.3)*G268</f>
        <v>18.7705</v>
      </c>
      <c r="J268" s="9"/>
      <c r="K268" s="9"/>
    </row>
    <row r="269" ht="200.15" customHeight="1" spans="1:11">
      <c r="A269" s="7">
        <v>267</v>
      </c>
      <c r="B269" s="7" t="s">
        <v>336</v>
      </c>
      <c r="C269" s="7" t="s">
        <v>371</v>
      </c>
      <c r="D269" s="7" t="s">
        <v>348</v>
      </c>
      <c r="E269" s="7"/>
      <c r="F269" s="7" t="s">
        <v>372</v>
      </c>
      <c r="G269" s="7">
        <v>1</v>
      </c>
      <c r="H269" s="7" t="s">
        <v>45</v>
      </c>
      <c r="I269" s="7">
        <f>(2.82+0.2)*(2.8+0.3)*G269</f>
        <v>9.362</v>
      </c>
      <c r="J269" s="9"/>
      <c r="K269" s="9"/>
    </row>
    <row r="270" ht="200.15" customHeight="1" spans="1:11">
      <c r="A270" s="7">
        <v>268</v>
      </c>
      <c r="B270" s="7" t="s">
        <v>336</v>
      </c>
      <c r="C270" s="7" t="s">
        <v>373</v>
      </c>
      <c r="D270" s="7" t="s">
        <v>348</v>
      </c>
      <c r="E270" s="7"/>
      <c r="F270" s="7" t="s">
        <v>374</v>
      </c>
      <c r="G270" s="7">
        <v>1</v>
      </c>
      <c r="H270" s="7" t="s">
        <v>45</v>
      </c>
      <c r="I270" s="7">
        <f>(5.025+0.5)*(2.8+0.3)*G270</f>
        <v>17.1275</v>
      </c>
      <c r="J270" s="9"/>
      <c r="K270" s="9"/>
    </row>
    <row r="271" ht="200.15" customHeight="1" spans="1:11">
      <c r="A271" s="7">
        <v>269</v>
      </c>
      <c r="B271" s="7" t="s">
        <v>336</v>
      </c>
      <c r="C271" s="7" t="s">
        <v>375</v>
      </c>
      <c r="D271" s="7" t="s">
        <v>348</v>
      </c>
      <c r="E271" s="7"/>
      <c r="F271" s="7" t="s">
        <v>95</v>
      </c>
      <c r="G271" s="7">
        <v>1</v>
      </c>
      <c r="H271" s="7" t="s">
        <v>45</v>
      </c>
      <c r="I271" s="7">
        <f>(3.2+0.2)*(2.8+0.3)*G271</f>
        <v>10.54</v>
      </c>
      <c r="J271" s="9"/>
      <c r="K271" s="9"/>
    </row>
    <row r="272" ht="200.15" customHeight="1" spans="1:11">
      <c r="A272" s="7">
        <v>270</v>
      </c>
      <c r="B272" s="7" t="s">
        <v>336</v>
      </c>
      <c r="C272" s="7" t="s">
        <v>376</v>
      </c>
      <c r="D272" s="7" t="s">
        <v>146</v>
      </c>
      <c r="E272" s="7"/>
      <c r="F272" s="7" t="s">
        <v>377</v>
      </c>
      <c r="G272" s="7">
        <v>1</v>
      </c>
      <c r="H272" s="7" t="s">
        <v>45</v>
      </c>
      <c r="I272" s="7">
        <f>(11.2+2)*(2.8+0.3)*G272</f>
        <v>40.92</v>
      </c>
      <c r="J272" s="9"/>
      <c r="K272" s="9"/>
    </row>
    <row r="273" ht="200.15" customHeight="1" spans="1:11">
      <c r="A273" s="7">
        <v>271</v>
      </c>
      <c r="B273" s="7" t="s">
        <v>336</v>
      </c>
      <c r="C273" s="7" t="s">
        <v>378</v>
      </c>
      <c r="D273" s="7" t="s">
        <v>146</v>
      </c>
      <c r="E273" s="7"/>
      <c r="F273" s="7" t="s">
        <v>223</v>
      </c>
      <c r="G273" s="7">
        <v>1</v>
      </c>
      <c r="H273" s="7" t="s">
        <v>45</v>
      </c>
      <c r="I273" s="7">
        <f>(2.6+0.2)*(2.8+0.3)*G273</f>
        <v>8.68</v>
      </c>
      <c r="J273" s="9"/>
      <c r="K273" s="9"/>
    </row>
    <row r="274" ht="200.15" customHeight="1" spans="1:11">
      <c r="A274" s="7">
        <v>272</v>
      </c>
      <c r="B274" s="7" t="s">
        <v>336</v>
      </c>
      <c r="C274" s="7" t="s">
        <v>379</v>
      </c>
      <c r="D274" s="7" t="s">
        <v>146</v>
      </c>
      <c r="E274" s="7"/>
      <c r="F274" s="7" t="s">
        <v>380</v>
      </c>
      <c r="G274" s="7">
        <v>1</v>
      </c>
      <c r="H274" s="7" t="s">
        <v>45</v>
      </c>
      <c r="I274" s="7">
        <f>(2.65+0.2)*(2.8+0.3)*G274</f>
        <v>8.835</v>
      </c>
      <c r="J274" s="9"/>
      <c r="K274" s="9"/>
    </row>
    <row r="275" ht="200.15" customHeight="1" spans="1:11">
      <c r="A275" s="7">
        <v>273</v>
      </c>
      <c r="B275" s="7" t="s">
        <v>336</v>
      </c>
      <c r="C275" s="7" t="s">
        <v>381</v>
      </c>
      <c r="D275" s="7" t="s">
        <v>146</v>
      </c>
      <c r="E275" s="7"/>
      <c r="F275" s="7" t="s">
        <v>382</v>
      </c>
      <c r="G275" s="7">
        <v>1</v>
      </c>
      <c r="H275" s="7" t="s">
        <v>45</v>
      </c>
      <c r="I275" s="7">
        <f>(2.28+0.2)*(2.8+0.3)*G275</f>
        <v>7.688</v>
      </c>
      <c r="J275" s="9"/>
      <c r="K275" s="9"/>
    </row>
    <row r="276" ht="200.15" customHeight="1" spans="1:11">
      <c r="A276" s="7">
        <v>274</v>
      </c>
      <c r="B276" s="7" t="s">
        <v>336</v>
      </c>
      <c r="C276" s="7" t="s">
        <v>279</v>
      </c>
      <c r="D276" s="7" t="s">
        <v>146</v>
      </c>
      <c r="E276" s="7"/>
      <c r="F276" s="7" t="s">
        <v>382</v>
      </c>
      <c r="G276" s="7">
        <v>1</v>
      </c>
      <c r="H276" s="7" t="s">
        <v>45</v>
      </c>
      <c r="I276" s="7">
        <f>(2.28+0.2)*(2.8+0.3)*G276</f>
        <v>7.688</v>
      </c>
      <c r="J276" s="9"/>
      <c r="K276" s="9"/>
    </row>
    <row r="277" ht="200.15" customHeight="1" spans="1:11">
      <c r="A277" s="7">
        <v>275</v>
      </c>
      <c r="B277" s="7" t="s">
        <v>336</v>
      </c>
      <c r="C277" s="7" t="s">
        <v>383</v>
      </c>
      <c r="D277" s="7" t="s">
        <v>146</v>
      </c>
      <c r="E277" s="7"/>
      <c r="F277" s="7" t="s">
        <v>284</v>
      </c>
      <c r="G277" s="7">
        <v>1</v>
      </c>
      <c r="H277" s="7" t="s">
        <v>45</v>
      </c>
      <c r="I277" s="7">
        <f>(4.8+0.2)*(2.8+0.3)*G277</f>
        <v>15.5</v>
      </c>
      <c r="J277" s="9"/>
      <c r="K277" s="9"/>
    </row>
    <row r="278" ht="200.15" customHeight="1" spans="1:11">
      <c r="A278" s="7">
        <v>276</v>
      </c>
      <c r="B278" s="7" t="s">
        <v>336</v>
      </c>
      <c r="C278" s="7" t="s">
        <v>174</v>
      </c>
      <c r="D278" s="7" t="s">
        <v>146</v>
      </c>
      <c r="E278" s="7"/>
      <c r="F278" s="7" t="s">
        <v>384</v>
      </c>
      <c r="G278" s="7">
        <v>1</v>
      </c>
      <c r="H278" s="7" t="s">
        <v>45</v>
      </c>
      <c r="I278" s="7">
        <f>(3.3+0.2)*(2.8+0.3)*G278</f>
        <v>10.85</v>
      </c>
      <c r="J278" s="9"/>
      <c r="K278" s="9"/>
    </row>
    <row r="279" ht="200.15" customHeight="1" spans="1:11">
      <c r="A279" s="7">
        <v>277</v>
      </c>
      <c r="B279" s="7" t="s">
        <v>336</v>
      </c>
      <c r="C279" s="7" t="s">
        <v>280</v>
      </c>
      <c r="D279" s="7" t="s">
        <v>146</v>
      </c>
      <c r="E279" s="7"/>
      <c r="F279" s="7" t="s">
        <v>385</v>
      </c>
      <c r="G279" s="7">
        <v>3</v>
      </c>
      <c r="H279" s="7" t="s">
        <v>45</v>
      </c>
      <c r="I279" s="7">
        <f>(5.5+0.2+3.05+0.2+3.15+0.2)*(2.8+0.3)*G279</f>
        <v>114.39</v>
      </c>
      <c r="J279" s="9"/>
      <c r="K279" s="9"/>
    </row>
    <row r="280" ht="200.15" customHeight="1" spans="1:11">
      <c r="A280" s="7">
        <v>278</v>
      </c>
      <c r="B280" s="7" t="s">
        <v>125</v>
      </c>
      <c r="C280" s="7" t="s">
        <v>302</v>
      </c>
      <c r="D280" s="7" t="s">
        <v>146</v>
      </c>
      <c r="E280" s="7"/>
      <c r="F280" s="7" t="s">
        <v>386</v>
      </c>
      <c r="G280" s="7">
        <v>2</v>
      </c>
      <c r="H280" s="7" t="s">
        <v>45</v>
      </c>
      <c r="I280" s="7">
        <f>(4.95+0.4)*(2.8+0.3)*G280</f>
        <v>33.17</v>
      </c>
      <c r="J280" s="9"/>
      <c r="K280" s="9"/>
    </row>
    <row r="281" ht="200.15" customHeight="1" spans="1:11">
      <c r="A281" s="7">
        <v>279</v>
      </c>
      <c r="B281" s="7" t="s">
        <v>125</v>
      </c>
      <c r="C281" s="7" t="s">
        <v>387</v>
      </c>
      <c r="D281" s="7" t="s">
        <v>146</v>
      </c>
      <c r="E281" s="7"/>
      <c r="F281" s="7" t="s">
        <v>295</v>
      </c>
      <c r="G281" s="7">
        <v>2</v>
      </c>
      <c r="H281" s="7" t="s">
        <v>45</v>
      </c>
      <c r="I281" s="7">
        <f>(4.7+0.4)*(2.8+0.3)*G281</f>
        <v>31.62</v>
      </c>
      <c r="J281" s="9"/>
      <c r="K281" s="9"/>
    </row>
    <row r="282" ht="200.15" customHeight="1" spans="1:11">
      <c r="A282" s="7">
        <v>280</v>
      </c>
      <c r="B282" s="7" t="s">
        <v>125</v>
      </c>
      <c r="C282" s="7" t="s">
        <v>261</v>
      </c>
      <c r="D282" s="7" t="s">
        <v>146</v>
      </c>
      <c r="E282" s="7"/>
      <c r="F282" s="7" t="s">
        <v>95</v>
      </c>
      <c r="G282" s="7">
        <v>1</v>
      </c>
      <c r="H282" s="7" t="s">
        <v>45</v>
      </c>
      <c r="I282" s="7">
        <f>(3.2+0.2)*(2.8+0.3)*G282</f>
        <v>10.54</v>
      </c>
      <c r="J282" s="9"/>
      <c r="K282" s="9"/>
    </row>
    <row r="283" ht="200.15" customHeight="1" spans="1:11">
      <c r="A283" s="7">
        <v>281</v>
      </c>
      <c r="B283" s="7" t="s">
        <v>125</v>
      </c>
      <c r="C283" s="7" t="s">
        <v>337</v>
      </c>
      <c r="D283" s="7" t="s">
        <v>146</v>
      </c>
      <c r="E283" s="7"/>
      <c r="F283" s="7" t="s">
        <v>388</v>
      </c>
      <c r="G283" s="7">
        <v>1</v>
      </c>
      <c r="H283" s="7" t="s">
        <v>45</v>
      </c>
      <c r="I283" s="7">
        <f>(4.55+0.4)*(2.8+0.3)*G283</f>
        <v>15.345</v>
      </c>
      <c r="J283" s="9"/>
      <c r="K283" s="9"/>
    </row>
    <row r="284" ht="200.15" customHeight="1" spans="1:11">
      <c r="A284" s="7">
        <v>282</v>
      </c>
      <c r="B284" s="7" t="s">
        <v>125</v>
      </c>
      <c r="C284" s="7" t="s">
        <v>389</v>
      </c>
      <c r="D284" s="7" t="s">
        <v>146</v>
      </c>
      <c r="E284" s="7"/>
      <c r="F284" s="7" t="s">
        <v>390</v>
      </c>
      <c r="G284" s="7">
        <v>1</v>
      </c>
      <c r="H284" s="7" t="s">
        <v>45</v>
      </c>
      <c r="I284" s="7">
        <f>(2.95+0.2)*(2.8+0.3)*G284</f>
        <v>9.765</v>
      </c>
      <c r="J284" s="9"/>
      <c r="K284" s="9"/>
    </row>
    <row r="285" ht="200.15" customHeight="1" spans="1:11">
      <c r="A285" s="7">
        <v>283</v>
      </c>
      <c r="B285" s="7" t="s">
        <v>125</v>
      </c>
      <c r="C285" s="7" t="s">
        <v>391</v>
      </c>
      <c r="D285" s="7" t="s">
        <v>146</v>
      </c>
      <c r="E285" s="7"/>
      <c r="F285" s="7" t="s">
        <v>392</v>
      </c>
      <c r="G285" s="7">
        <v>3</v>
      </c>
      <c r="H285" s="7" t="s">
        <v>45</v>
      </c>
      <c r="I285" s="7">
        <f>(6.85+0.2+7.6+0.2+2.45+0.2)*(2.8+0.3)*G285</f>
        <v>162.75</v>
      </c>
      <c r="J285" s="9"/>
      <c r="K285" s="9"/>
    </row>
    <row r="286" ht="200.15" customHeight="1" spans="1:11">
      <c r="A286" s="7">
        <v>284</v>
      </c>
      <c r="B286" s="7" t="s">
        <v>125</v>
      </c>
      <c r="C286" s="7" t="s">
        <v>393</v>
      </c>
      <c r="D286" s="7" t="s">
        <v>146</v>
      </c>
      <c r="E286" s="7"/>
      <c r="F286" s="7" t="s">
        <v>114</v>
      </c>
      <c r="G286" s="7">
        <v>1</v>
      </c>
      <c r="H286" s="7" t="s">
        <v>45</v>
      </c>
      <c r="I286" s="7">
        <f>(3+0.2)*(2.8+0.3)*G286</f>
        <v>9.92</v>
      </c>
      <c r="J286" s="9"/>
      <c r="K286" s="9"/>
    </row>
    <row r="287" ht="200.15" customHeight="1" spans="1:11">
      <c r="A287" s="7">
        <v>285</v>
      </c>
      <c r="B287" s="7" t="s">
        <v>125</v>
      </c>
      <c r="C287" s="7" t="s">
        <v>191</v>
      </c>
      <c r="D287" s="7" t="s">
        <v>146</v>
      </c>
      <c r="E287" s="7"/>
      <c r="F287" s="7" t="s">
        <v>394</v>
      </c>
      <c r="G287" s="7">
        <v>1</v>
      </c>
      <c r="H287" s="7" t="s">
        <v>45</v>
      </c>
      <c r="I287" s="7">
        <f>(1.95+0.2)*(2.8+0.3)*G287</f>
        <v>6.665</v>
      </c>
      <c r="J287" s="9"/>
      <c r="K287" s="9"/>
    </row>
    <row r="288" ht="200.15" customHeight="1" spans="1:11">
      <c r="A288" s="7">
        <v>286</v>
      </c>
      <c r="B288" s="7" t="s">
        <v>125</v>
      </c>
      <c r="C288" s="7" t="s">
        <v>395</v>
      </c>
      <c r="D288" s="7" t="s">
        <v>146</v>
      </c>
      <c r="E288" s="7"/>
      <c r="F288" s="7" t="s">
        <v>188</v>
      </c>
      <c r="G288" s="7">
        <v>1</v>
      </c>
      <c r="H288" s="7" t="s">
        <v>45</v>
      </c>
      <c r="I288" s="7">
        <f>(2.2+0.2)*(2.8+0.3)*G288</f>
        <v>7.44</v>
      </c>
      <c r="J288" s="9"/>
      <c r="K288" s="9"/>
    </row>
    <row r="289" ht="200.15" customHeight="1" spans="1:11">
      <c r="A289" s="7">
        <v>287</v>
      </c>
      <c r="B289" s="7" t="s">
        <v>125</v>
      </c>
      <c r="C289" s="7" t="s">
        <v>396</v>
      </c>
      <c r="D289" s="7" t="s">
        <v>146</v>
      </c>
      <c r="E289" s="7"/>
      <c r="F289" s="7" t="s">
        <v>95</v>
      </c>
      <c r="G289" s="7">
        <v>1</v>
      </c>
      <c r="H289" s="7" t="s">
        <v>45</v>
      </c>
      <c r="I289" s="7">
        <f>(3.2+0.2)*(2.8+0.3)*G289</f>
        <v>10.54</v>
      </c>
      <c r="J289" s="9"/>
      <c r="K289" s="9"/>
    </row>
    <row r="290" ht="200.15" customHeight="1" spans="1:11">
      <c r="A290" s="7">
        <v>288</v>
      </c>
      <c r="B290" s="7" t="s">
        <v>125</v>
      </c>
      <c r="C290" s="7" t="s">
        <v>397</v>
      </c>
      <c r="D290" s="7" t="s">
        <v>146</v>
      </c>
      <c r="E290" s="7"/>
      <c r="F290" s="7" t="s">
        <v>103</v>
      </c>
      <c r="G290" s="7">
        <v>1</v>
      </c>
      <c r="H290" s="7" t="s">
        <v>45</v>
      </c>
      <c r="I290" s="7">
        <f>(2.45+0.2)*(2.8+0.3)*G290</f>
        <v>8.215</v>
      </c>
      <c r="J290" s="9"/>
      <c r="K290" s="9"/>
    </row>
    <row r="291" ht="200.15" customHeight="1" spans="1:11">
      <c r="A291" s="7">
        <v>289</v>
      </c>
      <c r="B291" s="7" t="s">
        <v>125</v>
      </c>
      <c r="C291" s="7" t="s">
        <v>398</v>
      </c>
      <c r="D291" s="7" t="s">
        <v>146</v>
      </c>
      <c r="E291" s="7"/>
      <c r="F291" s="7" t="s">
        <v>399</v>
      </c>
      <c r="G291" s="7">
        <v>1</v>
      </c>
      <c r="H291" s="7" t="s">
        <v>45</v>
      </c>
      <c r="I291" s="7">
        <f>(2.85+0.2)*(2.8+0.3)*G291</f>
        <v>9.455</v>
      </c>
      <c r="J291" s="9"/>
      <c r="K291" s="9"/>
    </row>
    <row r="292" ht="200.15" customHeight="1" spans="1:11">
      <c r="A292" s="7">
        <v>290</v>
      </c>
      <c r="B292" s="7" t="s">
        <v>125</v>
      </c>
      <c r="C292" s="7" t="s">
        <v>400</v>
      </c>
      <c r="D292" s="7" t="s">
        <v>146</v>
      </c>
      <c r="E292" s="7"/>
      <c r="F292" s="7" t="s">
        <v>401</v>
      </c>
      <c r="G292" s="7">
        <v>1</v>
      </c>
      <c r="H292" s="7" t="s">
        <v>45</v>
      </c>
      <c r="I292" s="7">
        <f>(2+0.2)*(2.8+0.3)*G292</f>
        <v>6.82</v>
      </c>
      <c r="J292" s="9"/>
      <c r="K292" s="9"/>
    </row>
    <row r="293" ht="200.15" customHeight="1" spans="1:11">
      <c r="A293" s="7">
        <v>291</v>
      </c>
      <c r="B293" s="7" t="s">
        <v>125</v>
      </c>
      <c r="C293" s="7" t="s">
        <v>402</v>
      </c>
      <c r="D293" s="7" t="s">
        <v>146</v>
      </c>
      <c r="E293" s="7"/>
      <c r="F293" s="7" t="s">
        <v>403</v>
      </c>
      <c r="G293" s="7">
        <v>1</v>
      </c>
      <c r="H293" s="7" t="s">
        <v>45</v>
      </c>
      <c r="I293" s="7">
        <f>(6.236+0.5+1.28+0.2)*(2.8+0.3)*G293</f>
        <v>25.4696</v>
      </c>
      <c r="J293" s="9"/>
      <c r="K293" s="9"/>
    </row>
    <row r="294" ht="200.15" customHeight="1" spans="1:11">
      <c r="A294" s="7">
        <v>292</v>
      </c>
      <c r="B294" s="7" t="s">
        <v>125</v>
      </c>
      <c r="C294" s="7" t="s">
        <v>320</v>
      </c>
      <c r="D294" s="7" t="s">
        <v>146</v>
      </c>
      <c r="E294" s="7"/>
      <c r="F294" s="7" t="s">
        <v>404</v>
      </c>
      <c r="G294" s="7">
        <v>2</v>
      </c>
      <c r="H294" s="7" t="s">
        <v>45</v>
      </c>
      <c r="I294" s="7">
        <f>(2.5+0.2+2.4+0.2)*(2.8+0.3)*G294</f>
        <v>32.86</v>
      </c>
      <c r="J294" s="9"/>
      <c r="K294" s="9"/>
    </row>
    <row r="295" ht="200.15" customHeight="1" spans="1:11">
      <c r="A295" s="7">
        <v>293</v>
      </c>
      <c r="B295" s="7" t="s">
        <v>125</v>
      </c>
      <c r="C295" s="7" t="s">
        <v>216</v>
      </c>
      <c r="D295" s="7" t="s">
        <v>146</v>
      </c>
      <c r="E295" s="7"/>
      <c r="F295" s="7" t="s">
        <v>405</v>
      </c>
      <c r="G295" s="7">
        <v>2</v>
      </c>
      <c r="H295" s="7" t="s">
        <v>45</v>
      </c>
      <c r="I295" s="7">
        <f>(4+0.4+4.3+0.4)*(2.8+0.3)*G295</f>
        <v>56.42</v>
      </c>
      <c r="J295" s="9"/>
      <c r="K295" s="9"/>
    </row>
    <row r="296" ht="200.15" customHeight="1" spans="1:11">
      <c r="A296" s="7">
        <v>294</v>
      </c>
      <c r="B296" s="7" t="s">
        <v>125</v>
      </c>
      <c r="C296" s="7" t="s">
        <v>231</v>
      </c>
      <c r="D296" s="7" t="s">
        <v>146</v>
      </c>
      <c r="E296" s="7"/>
      <c r="F296" s="7" t="s">
        <v>278</v>
      </c>
      <c r="G296" s="7">
        <v>1</v>
      </c>
      <c r="H296" s="7" t="s">
        <v>45</v>
      </c>
      <c r="I296" s="7">
        <f>(2.5+0.2)*(2.8+0.3)*G296</f>
        <v>8.37</v>
      </c>
      <c r="J296" s="9"/>
      <c r="K296" s="9"/>
    </row>
    <row r="297" ht="200.15" customHeight="1" spans="1:11">
      <c r="A297" s="7">
        <v>295</v>
      </c>
      <c r="B297" s="7" t="s">
        <v>125</v>
      </c>
      <c r="C297" s="7" t="s">
        <v>174</v>
      </c>
      <c r="D297" s="7" t="s">
        <v>146</v>
      </c>
      <c r="E297" s="7"/>
      <c r="F297" s="7" t="s">
        <v>247</v>
      </c>
      <c r="G297" s="7">
        <v>1</v>
      </c>
      <c r="H297" s="7" t="s">
        <v>45</v>
      </c>
      <c r="I297" s="7">
        <f>(4.5+0.4)*(2.8+0.3)*G297</f>
        <v>15.19</v>
      </c>
      <c r="J297" s="9"/>
      <c r="K297" s="9"/>
    </row>
    <row r="298" ht="200.15" customHeight="1" spans="1:11">
      <c r="A298" s="7">
        <v>296</v>
      </c>
      <c r="B298" s="7" t="s">
        <v>125</v>
      </c>
      <c r="C298" s="7" t="s">
        <v>406</v>
      </c>
      <c r="D298" s="7" t="s">
        <v>146</v>
      </c>
      <c r="E298" s="7"/>
      <c r="F298" s="7" t="s">
        <v>246</v>
      </c>
      <c r="G298" s="7">
        <v>1</v>
      </c>
      <c r="H298" s="7" t="s">
        <v>45</v>
      </c>
      <c r="I298" s="7">
        <f>(4.1+0.4)*(2.8+0.3)*G298</f>
        <v>13.95</v>
      </c>
      <c r="J298" s="9"/>
      <c r="K298" s="9"/>
    </row>
    <row r="299" ht="200.15" customHeight="1" spans="1:11">
      <c r="A299" s="7">
        <v>297</v>
      </c>
      <c r="B299" s="7" t="s">
        <v>125</v>
      </c>
      <c r="C299" s="7" t="s">
        <v>191</v>
      </c>
      <c r="D299" s="7" t="s">
        <v>146</v>
      </c>
      <c r="E299" s="7"/>
      <c r="F299" s="7" t="s">
        <v>407</v>
      </c>
      <c r="G299" s="7">
        <v>1</v>
      </c>
      <c r="H299" s="7" t="s">
        <v>45</v>
      </c>
      <c r="I299" s="7">
        <f>(8.25+1)*(2.8+0.3)*G299</f>
        <v>28.675</v>
      </c>
      <c r="J299" s="9"/>
      <c r="K299" s="9"/>
    </row>
    <row r="300" ht="200.15" customHeight="1" spans="1:11">
      <c r="A300" s="7">
        <v>298</v>
      </c>
      <c r="B300" s="7" t="s">
        <v>125</v>
      </c>
      <c r="C300" s="7" t="s">
        <v>408</v>
      </c>
      <c r="D300" s="7" t="s">
        <v>146</v>
      </c>
      <c r="E300" s="7"/>
      <c r="F300" s="7" t="s">
        <v>409</v>
      </c>
      <c r="G300" s="7">
        <v>1</v>
      </c>
      <c r="H300" s="7" t="s">
        <v>45</v>
      </c>
      <c r="I300" s="7">
        <f>(19.25+2)*(2.8+0.3)*G300</f>
        <v>65.875</v>
      </c>
      <c r="J300" s="9"/>
      <c r="K300" s="9"/>
    </row>
    <row r="301" ht="200.15" customHeight="1" spans="1:11">
      <c r="A301" s="7">
        <v>299</v>
      </c>
      <c r="B301" s="7" t="s">
        <v>125</v>
      </c>
      <c r="C301" s="7" t="s">
        <v>410</v>
      </c>
      <c r="D301" s="7" t="s">
        <v>146</v>
      </c>
      <c r="E301" s="7"/>
      <c r="F301" s="7" t="s">
        <v>384</v>
      </c>
      <c r="G301" s="7">
        <v>1</v>
      </c>
      <c r="H301" s="7" t="s">
        <v>45</v>
      </c>
      <c r="I301" s="7">
        <f>(3.3+0.2)*(2.8+0.3)*G301</f>
        <v>10.85</v>
      </c>
      <c r="J301" s="9"/>
      <c r="K301" s="9"/>
    </row>
    <row r="302" ht="200.15" customHeight="1" spans="1:11">
      <c r="A302" s="7">
        <v>300</v>
      </c>
      <c r="B302" s="7" t="s">
        <v>125</v>
      </c>
      <c r="C302" s="7" t="s">
        <v>283</v>
      </c>
      <c r="D302" s="7" t="s">
        <v>146</v>
      </c>
      <c r="E302" s="7"/>
      <c r="F302" s="7" t="s">
        <v>411</v>
      </c>
      <c r="G302" s="7">
        <v>1</v>
      </c>
      <c r="H302" s="7" t="s">
        <v>45</v>
      </c>
      <c r="I302" s="7">
        <f>(1+0.2)*(2.8+0.3)*G302</f>
        <v>3.72</v>
      </c>
      <c r="J302" s="9"/>
      <c r="K302" s="9"/>
    </row>
    <row r="303" ht="200.15" customHeight="1" spans="1:11">
      <c r="A303" s="7">
        <v>301</v>
      </c>
      <c r="B303" s="7" t="s">
        <v>125</v>
      </c>
      <c r="C303" s="7" t="s">
        <v>412</v>
      </c>
      <c r="D303" s="7" t="s">
        <v>146</v>
      </c>
      <c r="E303" s="7"/>
      <c r="F303" s="7" t="s">
        <v>413</v>
      </c>
      <c r="G303" s="7">
        <v>1</v>
      </c>
      <c r="H303" s="7" t="s">
        <v>45</v>
      </c>
      <c r="I303" s="7">
        <f>(2.05+0.2)*(2.8+0.3)*G303</f>
        <v>6.975</v>
      </c>
      <c r="J303" s="9"/>
      <c r="K303" s="9"/>
    </row>
    <row r="304" ht="200.15" customHeight="1" spans="1:11">
      <c r="A304" s="7">
        <v>302</v>
      </c>
      <c r="B304" s="7" t="s">
        <v>125</v>
      </c>
      <c r="C304" s="7" t="s">
        <v>414</v>
      </c>
      <c r="D304" s="7" t="s">
        <v>146</v>
      </c>
      <c r="E304" s="7"/>
      <c r="F304" s="7" t="s">
        <v>205</v>
      </c>
      <c r="G304" s="7">
        <v>1</v>
      </c>
      <c r="H304" s="7" t="s">
        <v>45</v>
      </c>
      <c r="I304" s="7">
        <f>(2.8+0.2)*(2.8+0.3)*G304</f>
        <v>9.3</v>
      </c>
      <c r="J304" s="9"/>
      <c r="K304" s="9"/>
    </row>
    <row r="305" ht="200.15" customHeight="1" spans="1:11">
      <c r="A305" s="7">
        <v>303</v>
      </c>
      <c r="B305" s="7" t="s">
        <v>125</v>
      </c>
      <c r="C305" s="7" t="s">
        <v>415</v>
      </c>
      <c r="D305" s="7" t="s">
        <v>146</v>
      </c>
      <c r="E305" s="7"/>
      <c r="F305" s="7" t="s">
        <v>380</v>
      </c>
      <c r="G305" s="7">
        <v>1</v>
      </c>
      <c r="H305" s="7" t="s">
        <v>45</v>
      </c>
      <c r="I305" s="7">
        <f>(2.65+0.2)*(2.8+0.3)*G305</f>
        <v>8.835</v>
      </c>
      <c r="J305" s="9"/>
      <c r="K305" s="9"/>
    </row>
    <row r="306" ht="200.15" customHeight="1" spans="1:11">
      <c r="A306" s="7">
        <v>304</v>
      </c>
      <c r="B306" s="7" t="s">
        <v>125</v>
      </c>
      <c r="C306" s="7" t="s">
        <v>416</v>
      </c>
      <c r="D306" s="7" t="s">
        <v>146</v>
      </c>
      <c r="E306" s="7"/>
      <c r="F306" s="7" t="s">
        <v>346</v>
      </c>
      <c r="G306" s="7">
        <v>1</v>
      </c>
      <c r="H306" s="7" t="s">
        <v>45</v>
      </c>
      <c r="I306" s="7">
        <f>(2.75+0.2)*(2.8+0.3)*G306</f>
        <v>9.145</v>
      </c>
      <c r="J306" s="9"/>
      <c r="K306" s="9"/>
    </row>
    <row r="307" ht="200.15" customHeight="1" spans="1:11">
      <c r="A307" s="7">
        <v>305</v>
      </c>
      <c r="B307" s="7" t="s">
        <v>125</v>
      </c>
      <c r="C307" s="7" t="s">
        <v>417</v>
      </c>
      <c r="D307" s="7" t="s">
        <v>146</v>
      </c>
      <c r="E307" s="7"/>
      <c r="F307" s="7" t="s">
        <v>194</v>
      </c>
      <c r="G307" s="7">
        <v>1</v>
      </c>
      <c r="H307" s="7" t="s">
        <v>45</v>
      </c>
      <c r="I307" s="7">
        <f>(2.9+0.2)*(2.8+0.3)*G307</f>
        <v>9.61</v>
      </c>
      <c r="J307" s="9"/>
      <c r="K307" s="9"/>
    </row>
    <row r="308" ht="200.15" customHeight="1" spans="1:11">
      <c r="A308" s="7">
        <v>306</v>
      </c>
      <c r="B308" s="7" t="s">
        <v>125</v>
      </c>
      <c r="C308" s="7" t="s">
        <v>242</v>
      </c>
      <c r="D308" s="7" t="s">
        <v>146</v>
      </c>
      <c r="E308" s="7"/>
      <c r="F308" s="7" t="s">
        <v>418</v>
      </c>
      <c r="G308" s="7">
        <v>2</v>
      </c>
      <c r="H308" s="7" t="s">
        <v>45</v>
      </c>
      <c r="I308" s="7">
        <f>(3.399+0.2+1.28+0.2)*(2.8+0.3)*G308</f>
        <v>31.4898</v>
      </c>
      <c r="J308" s="9"/>
      <c r="K308" s="9"/>
    </row>
    <row r="309" ht="200.15" customHeight="1" spans="1:11">
      <c r="A309" s="7">
        <v>307</v>
      </c>
      <c r="B309" s="7" t="s">
        <v>125</v>
      </c>
      <c r="C309" s="7" t="s">
        <v>186</v>
      </c>
      <c r="D309" s="7" t="s">
        <v>146</v>
      </c>
      <c r="E309" s="7"/>
      <c r="F309" s="7" t="s">
        <v>419</v>
      </c>
      <c r="G309" s="7">
        <v>1</v>
      </c>
      <c r="H309" s="7" t="s">
        <v>45</v>
      </c>
      <c r="I309" s="7">
        <f>(4.572+0.2)*(2.8+0.3)*G309</f>
        <v>14.7932</v>
      </c>
      <c r="J309" s="9"/>
      <c r="K309" s="9"/>
    </row>
    <row r="310" ht="200.15" customHeight="1" spans="1:11">
      <c r="A310" s="7">
        <v>308</v>
      </c>
      <c r="B310" s="7" t="s">
        <v>420</v>
      </c>
      <c r="C310" s="7" t="s">
        <v>324</v>
      </c>
      <c r="D310" s="7" t="s">
        <v>146</v>
      </c>
      <c r="E310" s="7"/>
      <c r="F310" s="7" t="s">
        <v>197</v>
      </c>
      <c r="G310" s="7">
        <v>1</v>
      </c>
      <c r="H310" s="7" t="s">
        <v>45</v>
      </c>
      <c r="I310" s="7">
        <f>(3.6+0.2)*(2.8+0.3)*G310</f>
        <v>11.78</v>
      </c>
      <c r="J310" s="9"/>
      <c r="K310" s="9"/>
    </row>
    <row r="311" ht="200.15" customHeight="1" spans="1:11">
      <c r="A311" s="7">
        <v>309</v>
      </c>
      <c r="B311" s="7" t="s">
        <v>420</v>
      </c>
      <c r="C311" s="7" t="s">
        <v>421</v>
      </c>
      <c r="D311" s="7" t="s">
        <v>146</v>
      </c>
      <c r="E311" s="7"/>
      <c r="F311" s="7" t="s">
        <v>422</v>
      </c>
      <c r="G311" s="7">
        <v>1</v>
      </c>
      <c r="H311" s="7" t="s">
        <v>45</v>
      </c>
      <c r="I311" s="7">
        <f>(5.95+0.5)*(2.8+0.3)*G311</f>
        <v>19.995</v>
      </c>
      <c r="J311" s="9"/>
      <c r="K311" s="9"/>
    </row>
    <row r="312" ht="291" customHeight="1" spans="1:11">
      <c r="A312" s="7">
        <v>310</v>
      </c>
      <c r="B312" s="7" t="s">
        <v>420</v>
      </c>
      <c r="C312" s="7" t="s">
        <v>317</v>
      </c>
      <c r="D312" s="7" t="s">
        <v>146</v>
      </c>
      <c r="E312" s="7"/>
      <c r="F312" s="7" t="s">
        <v>423</v>
      </c>
      <c r="G312" s="7">
        <v>7</v>
      </c>
      <c r="H312" s="7" t="s">
        <v>45</v>
      </c>
      <c r="I312" s="7">
        <f>(2.65+0.2+2.55+0.2+2.4+0.2+2.95+0.2+2.95+0.2+2.4+0.2+2.875+0.2)*(2.8+0.3)*G312</f>
        <v>437.7975</v>
      </c>
      <c r="J312" s="9"/>
      <c r="K312" s="9"/>
    </row>
    <row r="313" ht="200.15" customHeight="1" spans="1:11">
      <c r="A313" s="7">
        <v>311</v>
      </c>
      <c r="B313" s="7" t="s">
        <v>420</v>
      </c>
      <c r="C313" s="7" t="s">
        <v>424</v>
      </c>
      <c r="D313" s="7" t="s">
        <v>146</v>
      </c>
      <c r="E313" s="7"/>
      <c r="F313" s="7" t="s">
        <v>425</v>
      </c>
      <c r="G313" s="7">
        <v>1</v>
      </c>
      <c r="H313" s="7" t="s">
        <v>45</v>
      </c>
      <c r="I313" s="7">
        <f>(19.85+2)*(2.8+0.3)*G313</f>
        <v>67.735</v>
      </c>
      <c r="J313" s="9"/>
      <c r="K313" s="9"/>
    </row>
    <row r="314" ht="200.15" customHeight="1" spans="1:11">
      <c r="A314" s="7">
        <v>312</v>
      </c>
      <c r="B314" s="7" t="s">
        <v>420</v>
      </c>
      <c r="C314" s="7" t="s">
        <v>426</v>
      </c>
      <c r="D314" s="7" t="s">
        <v>146</v>
      </c>
      <c r="E314" s="7"/>
      <c r="F314" s="7" t="s">
        <v>427</v>
      </c>
      <c r="G314" s="7">
        <v>1</v>
      </c>
      <c r="H314" s="7" t="s">
        <v>45</v>
      </c>
      <c r="I314" s="7">
        <f>(4.9+0.4+3.6+0.2)*(2.8+0.3)*G314</f>
        <v>28.21</v>
      </c>
      <c r="J314" s="9"/>
      <c r="K314" s="9"/>
    </row>
    <row r="315" ht="200.15" customHeight="1" spans="1:11">
      <c r="A315" s="7">
        <v>313</v>
      </c>
      <c r="B315" s="7" t="s">
        <v>420</v>
      </c>
      <c r="C315" s="7" t="s">
        <v>320</v>
      </c>
      <c r="D315" s="7" t="s">
        <v>146</v>
      </c>
      <c r="E315" s="7"/>
      <c r="F315" s="7" t="s">
        <v>428</v>
      </c>
      <c r="G315" s="7">
        <v>3</v>
      </c>
      <c r="H315" s="7" t="s">
        <v>45</v>
      </c>
      <c r="I315" s="7">
        <f>(2+0.2+2.1+0.2+2.4+0.2)*(2.8+0.3)*G315</f>
        <v>66.03</v>
      </c>
      <c r="J315" s="9"/>
      <c r="K315" s="9"/>
    </row>
    <row r="316" ht="200.15" customHeight="1" spans="1:11">
      <c r="A316" s="7">
        <v>314</v>
      </c>
      <c r="B316" s="7" t="s">
        <v>420</v>
      </c>
      <c r="C316" s="7" t="s">
        <v>280</v>
      </c>
      <c r="D316" s="7" t="s">
        <v>146</v>
      </c>
      <c r="E316" s="7"/>
      <c r="F316" s="7" t="s">
        <v>429</v>
      </c>
      <c r="G316" s="7">
        <v>2</v>
      </c>
      <c r="H316" s="7" t="s">
        <v>45</v>
      </c>
      <c r="I316" s="7">
        <f>(3.6+0.2+3.2+0.2)*(2.8+0.3)*G316</f>
        <v>44.64</v>
      </c>
      <c r="J316" s="9"/>
      <c r="K316" s="9"/>
    </row>
    <row r="317" ht="200.15" customHeight="1" spans="1:11">
      <c r="A317" s="7">
        <v>315</v>
      </c>
      <c r="B317" s="7" t="s">
        <v>420</v>
      </c>
      <c r="C317" s="7" t="s">
        <v>412</v>
      </c>
      <c r="D317" s="7" t="s">
        <v>146</v>
      </c>
      <c r="E317" s="7"/>
      <c r="F317" s="7" t="s">
        <v>430</v>
      </c>
      <c r="G317" s="7">
        <v>1</v>
      </c>
      <c r="H317" s="7" t="s">
        <v>45</v>
      </c>
      <c r="I317" s="7">
        <f>(3.05+0.2)*(2.8+0.3)*G317</f>
        <v>10.075</v>
      </c>
      <c r="J317" s="9"/>
      <c r="K317" s="9"/>
    </row>
    <row r="318" ht="200.15" customHeight="1" spans="1:11">
      <c r="A318" s="7">
        <v>316</v>
      </c>
      <c r="B318" s="7" t="s">
        <v>420</v>
      </c>
      <c r="C318" s="7" t="s">
        <v>431</v>
      </c>
      <c r="D318" s="7" t="s">
        <v>146</v>
      </c>
      <c r="E318" s="7"/>
      <c r="F318" s="7" t="s">
        <v>432</v>
      </c>
      <c r="G318" s="7">
        <v>1</v>
      </c>
      <c r="H318" s="7" t="s">
        <v>45</v>
      </c>
      <c r="I318" s="7">
        <f>(6.45+0.2)*(2.8+0.3)*G318</f>
        <v>20.615</v>
      </c>
      <c r="J318" s="9"/>
      <c r="K318" s="9"/>
    </row>
    <row r="319" ht="200.15" customHeight="1" spans="1:11">
      <c r="A319" s="7">
        <v>317</v>
      </c>
      <c r="B319" s="7" t="s">
        <v>420</v>
      </c>
      <c r="C319" s="7" t="s">
        <v>433</v>
      </c>
      <c r="D319" s="7" t="s">
        <v>146</v>
      </c>
      <c r="E319" s="7"/>
      <c r="F319" s="7" t="s">
        <v>247</v>
      </c>
      <c r="G319" s="7">
        <v>1</v>
      </c>
      <c r="H319" s="7" t="s">
        <v>45</v>
      </c>
      <c r="I319" s="7">
        <f>(4.5+0.4)*(2.8+0.3)*G319</f>
        <v>15.19</v>
      </c>
      <c r="J319" s="9"/>
      <c r="K319" s="9"/>
    </row>
    <row r="320" ht="200.15" customHeight="1" spans="1:11">
      <c r="A320" s="7">
        <v>318</v>
      </c>
      <c r="B320" s="7" t="s">
        <v>420</v>
      </c>
      <c r="C320" s="7" t="s">
        <v>426</v>
      </c>
      <c r="D320" s="7" t="s">
        <v>146</v>
      </c>
      <c r="E320" s="7"/>
      <c r="F320" s="7" t="s">
        <v>194</v>
      </c>
      <c r="G320" s="7">
        <v>1</v>
      </c>
      <c r="H320" s="7" t="s">
        <v>45</v>
      </c>
      <c r="I320" s="7">
        <f>(2.9+0.2)*(2.8+0.3)*G320</f>
        <v>9.61</v>
      </c>
      <c r="J320" s="9"/>
      <c r="K320" s="9"/>
    </row>
    <row r="321" ht="200.15" customHeight="1" spans="1:11">
      <c r="A321" s="7">
        <v>319</v>
      </c>
      <c r="B321" s="7" t="s">
        <v>420</v>
      </c>
      <c r="C321" s="7" t="s">
        <v>434</v>
      </c>
      <c r="D321" s="7" t="s">
        <v>146</v>
      </c>
      <c r="E321" s="7"/>
      <c r="F321" s="7" t="s">
        <v>168</v>
      </c>
      <c r="G321" s="7">
        <v>1</v>
      </c>
      <c r="H321" s="7" t="s">
        <v>45</v>
      </c>
      <c r="I321" s="7">
        <f>(7.6+0.5)*(2.8+0.3)*G321</f>
        <v>25.11</v>
      </c>
      <c r="J321" s="9"/>
      <c r="K321" s="9"/>
    </row>
    <row r="322" ht="200.15" customHeight="1" spans="1:11">
      <c r="A322" s="7">
        <v>320</v>
      </c>
      <c r="B322" s="7" t="s">
        <v>420</v>
      </c>
      <c r="C322" s="7" t="s">
        <v>435</v>
      </c>
      <c r="D322" s="7" t="s">
        <v>146</v>
      </c>
      <c r="E322" s="7"/>
      <c r="F322" s="7" t="s">
        <v>436</v>
      </c>
      <c r="G322" s="7">
        <v>1</v>
      </c>
      <c r="H322" s="7" t="s">
        <v>45</v>
      </c>
      <c r="I322" s="7">
        <f>(7.45+0.5)*(2.8+0.3)*G322</f>
        <v>24.645</v>
      </c>
      <c r="J322" s="9"/>
      <c r="K322" s="9"/>
    </row>
    <row r="323" ht="200.15" customHeight="1" spans="1:11">
      <c r="A323" s="7">
        <v>321</v>
      </c>
      <c r="B323" s="7" t="s">
        <v>420</v>
      </c>
      <c r="C323" s="7" t="s">
        <v>437</v>
      </c>
      <c r="D323" s="7" t="s">
        <v>146</v>
      </c>
      <c r="E323" s="7"/>
      <c r="F323" s="7" t="s">
        <v>438</v>
      </c>
      <c r="G323" s="7">
        <v>1</v>
      </c>
      <c r="H323" s="7" t="s">
        <v>45</v>
      </c>
      <c r="I323" s="7">
        <f>(1.45+0.2)*(2.8+0.3)*G323</f>
        <v>5.115</v>
      </c>
      <c r="J323" s="9"/>
      <c r="K323" s="9"/>
    </row>
    <row r="324" ht="200.15" customHeight="1" spans="1:11">
      <c r="A324" s="7">
        <v>322</v>
      </c>
      <c r="B324" s="7" t="s">
        <v>420</v>
      </c>
      <c r="C324" s="7" t="s">
        <v>439</v>
      </c>
      <c r="D324" s="7" t="s">
        <v>146</v>
      </c>
      <c r="E324" s="7"/>
      <c r="F324" s="7" t="s">
        <v>422</v>
      </c>
      <c r="G324" s="7">
        <v>1</v>
      </c>
      <c r="H324" s="7" t="s">
        <v>45</v>
      </c>
      <c r="I324" s="7">
        <f>(5.95+0.5)*(2.8+0.3)*G324</f>
        <v>19.995</v>
      </c>
      <c r="J324" s="9"/>
      <c r="K324" s="9"/>
    </row>
    <row r="325" ht="200.15" customHeight="1" spans="1:11">
      <c r="A325" s="7">
        <v>323</v>
      </c>
      <c r="B325" s="7" t="s">
        <v>420</v>
      </c>
      <c r="C325" s="7" t="s">
        <v>440</v>
      </c>
      <c r="D325" s="7" t="s">
        <v>146</v>
      </c>
      <c r="E325" s="7"/>
      <c r="F325" s="7" t="s">
        <v>441</v>
      </c>
      <c r="G325" s="7">
        <v>1</v>
      </c>
      <c r="H325" s="7" t="s">
        <v>45</v>
      </c>
      <c r="I325" s="7">
        <f>(2.55+0.2)*(2.8+0.3)*G325</f>
        <v>8.525</v>
      </c>
      <c r="J325" s="9"/>
      <c r="K325" s="9"/>
    </row>
    <row r="326" ht="200.15" customHeight="1" spans="1:11">
      <c r="A326" s="7">
        <v>324</v>
      </c>
      <c r="B326" s="7" t="s">
        <v>420</v>
      </c>
      <c r="C326" s="7" t="s">
        <v>442</v>
      </c>
      <c r="D326" s="7" t="s">
        <v>146</v>
      </c>
      <c r="E326" s="7"/>
      <c r="F326" s="7" t="s">
        <v>386</v>
      </c>
      <c r="G326" s="7">
        <v>1</v>
      </c>
      <c r="H326" s="7" t="s">
        <v>45</v>
      </c>
      <c r="I326" s="7">
        <f>(4.95+0.4)*(2.8+0.3)*G326</f>
        <v>16.585</v>
      </c>
      <c r="J326" s="9"/>
      <c r="K326" s="9"/>
    </row>
    <row r="327" ht="200.15" customHeight="1" spans="1:11">
      <c r="A327" s="7">
        <v>325</v>
      </c>
      <c r="B327" s="7" t="s">
        <v>420</v>
      </c>
      <c r="C327" s="7" t="s">
        <v>443</v>
      </c>
      <c r="D327" s="7" t="s">
        <v>146</v>
      </c>
      <c r="E327" s="7"/>
      <c r="F327" s="7" t="s">
        <v>168</v>
      </c>
      <c r="G327" s="7">
        <v>1</v>
      </c>
      <c r="H327" s="7" t="s">
        <v>45</v>
      </c>
      <c r="I327" s="7">
        <f>(7.6+0.2)*(2.8+0.3)*G327</f>
        <v>24.18</v>
      </c>
      <c r="J327" s="9"/>
      <c r="K327" s="9"/>
    </row>
    <row r="328" ht="200.15" customHeight="1" spans="1:11">
      <c r="A328" s="7">
        <v>326</v>
      </c>
      <c r="B328" s="7" t="s">
        <v>420</v>
      </c>
      <c r="C328" s="7" t="s">
        <v>366</v>
      </c>
      <c r="D328" s="7" t="s">
        <v>146</v>
      </c>
      <c r="E328" s="7"/>
      <c r="F328" s="7" t="s">
        <v>344</v>
      </c>
      <c r="G328" s="7">
        <v>1</v>
      </c>
      <c r="H328" s="7" t="s">
        <v>45</v>
      </c>
      <c r="I328" s="7">
        <f>(3.75+0.2)*(2.8+0.3)*G328</f>
        <v>12.245</v>
      </c>
      <c r="J328" s="9"/>
      <c r="K328" s="9"/>
    </row>
    <row r="329" ht="200.15" customHeight="1" spans="1:11">
      <c r="A329" s="7">
        <v>327</v>
      </c>
      <c r="B329" s="7" t="s">
        <v>420</v>
      </c>
      <c r="C329" s="7" t="s">
        <v>174</v>
      </c>
      <c r="D329" s="7" t="s">
        <v>146</v>
      </c>
      <c r="E329" s="7"/>
      <c r="F329" s="7" t="s">
        <v>301</v>
      </c>
      <c r="G329" s="7">
        <v>1</v>
      </c>
      <c r="H329" s="7" t="s">
        <v>45</v>
      </c>
      <c r="I329" s="7">
        <f>(3.7+0.2)*(2.8+0.3)*G329</f>
        <v>12.09</v>
      </c>
      <c r="J329" s="9"/>
      <c r="K329" s="9"/>
    </row>
    <row r="330" ht="200.15" customHeight="1" spans="1:11">
      <c r="A330" s="7">
        <v>328</v>
      </c>
      <c r="B330" s="7" t="s">
        <v>420</v>
      </c>
      <c r="C330" s="7" t="s">
        <v>412</v>
      </c>
      <c r="D330" s="7" t="s">
        <v>146</v>
      </c>
      <c r="E330" s="7"/>
      <c r="F330" s="7" t="s">
        <v>114</v>
      </c>
      <c r="G330" s="7">
        <v>1</v>
      </c>
      <c r="H330" s="7" t="s">
        <v>45</v>
      </c>
      <c r="I330" s="7">
        <f>(3+0.2)*(2.8+0.3)*G330</f>
        <v>9.92</v>
      </c>
      <c r="J330" s="9"/>
      <c r="K330" s="9"/>
    </row>
    <row r="331" ht="200.15" customHeight="1" spans="1:11">
      <c r="A331" s="7">
        <v>329</v>
      </c>
      <c r="B331" s="7" t="s">
        <v>420</v>
      </c>
      <c r="C331" s="7" t="s">
        <v>444</v>
      </c>
      <c r="D331" s="7" t="s">
        <v>146</v>
      </c>
      <c r="E331" s="7"/>
      <c r="F331" s="7" t="s">
        <v>294</v>
      </c>
      <c r="G331" s="7">
        <v>1</v>
      </c>
      <c r="H331" s="7" t="s">
        <v>45</v>
      </c>
      <c r="I331" s="7">
        <f>(2.1+0.2)*(2.8+0.3)*G331</f>
        <v>7.13</v>
      </c>
      <c r="J331" s="9"/>
      <c r="K331" s="9"/>
    </row>
    <row r="332" ht="200.15" customHeight="1" spans="1:11">
      <c r="A332" s="7">
        <v>330</v>
      </c>
      <c r="B332" s="7" t="s">
        <v>420</v>
      </c>
      <c r="C332" s="7" t="s">
        <v>410</v>
      </c>
      <c r="D332" s="7" t="s">
        <v>146</v>
      </c>
      <c r="E332" s="7"/>
      <c r="F332" s="7" t="s">
        <v>197</v>
      </c>
      <c r="G332" s="7">
        <v>1</v>
      </c>
      <c r="H332" s="7" t="s">
        <v>45</v>
      </c>
      <c r="I332" s="7">
        <f>(3.6+0.2)*(2.8+0.3)*G332</f>
        <v>11.78</v>
      </c>
      <c r="J332" s="9"/>
      <c r="K332" s="9"/>
    </row>
    <row r="333" ht="200.15" customHeight="1" spans="1:11">
      <c r="A333" s="7">
        <v>331</v>
      </c>
      <c r="B333" s="7" t="s">
        <v>420</v>
      </c>
      <c r="C333" s="7" t="s">
        <v>445</v>
      </c>
      <c r="D333" s="7" t="s">
        <v>146</v>
      </c>
      <c r="E333" s="7"/>
      <c r="F333" s="7" t="s">
        <v>284</v>
      </c>
      <c r="G333" s="7">
        <v>1</v>
      </c>
      <c r="H333" s="7" t="s">
        <v>45</v>
      </c>
      <c r="I333" s="7">
        <f>(4.8+0.4)*(2.8+0.3)*G333</f>
        <v>16.12</v>
      </c>
      <c r="J333" s="9"/>
      <c r="K333" s="9"/>
    </row>
    <row r="334" ht="200.15" customHeight="1" spans="1:11">
      <c r="A334" s="7">
        <v>332</v>
      </c>
      <c r="B334" s="7" t="s">
        <v>420</v>
      </c>
      <c r="C334" s="7" t="s">
        <v>446</v>
      </c>
      <c r="D334" s="7" t="s">
        <v>146</v>
      </c>
      <c r="E334" s="7"/>
      <c r="F334" s="7" t="s">
        <v>447</v>
      </c>
      <c r="G334" s="7">
        <v>1</v>
      </c>
      <c r="H334" s="7" t="s">
        <v>45</v>
      </c>
      <c r="I334" s="7">
        <f>(3.34+0.2)*(2.8+0.3)*G334</f>
        <v>10.974</v>
      </c>
      <c r="J334" s="9"/>
      <c r="K334" s="9"/>
    </row>
    <row r="335" ht="200.15" customHeight="1" spans="1:11">
      <c r="A335" s="7">
        <v>333</v>
      </c>
      <c r="B335" s="7" t="s">
        <v>420</v>
      </c>
      <c r="C335" s="7" t="s">
        <v>191</v>
      </c>
      <c r="D335" s="7" t="s">
        <v>146</v>
      </c>
      <c r="E335" s="7"/>
      <c r="F335" s="7" t="s">
        <v>448</v>
      </c>
      <c r="G335" s="7">
        <v>1</v>
      </c>
      <c r="H335" s="7" t="s">
        <v>45</v>
      </c>
      <c r="I335" s="7">
        <f>(8.32+2)*(2.8+0.3)*G335</f>
        <v>31.992</v>
      </c>
      <c r="J335" s="9"/>
      <c r="K335" s="9"/>
    </row>
    <row r="336" ht="200.15" customHeight="1" spans="1:11">
      <c r="A336" s="7">
        <v>334</v>
      </c>
      <c r="B336" s="7" t="s">
        <v>420</v>
      </c>
      <c r="C336" s="7" t="s">
        <v>174</v>
      </c>
      <c r="D336" s="7" t="s">
        <v>146</v>
      </c>
      <c r="E336" s="7"/>
      <c r="F336" s="7" t="s">
        <v>356</v>
      </c>
      <c r="G336" s="7">
        <v>1</v>
      </c>
      <c r="H336" s="7" t="s">
        <v>45</v>
      </c>
      <c r="I336" s="7">
        <f>(3.85+0.2)*(2.8+0.3)*G336</f>
        <v>12.555</v>
      </c>
      <c r="J336" s="9"/>
      <c r="K336" s="9"/>
    </row>
    <row r="337" ht="200.15" customHeight="1" spans="1:11">
      <c r="A337" s="7">
        <v>335</v>
      </c>
      <c r="B337" s="7" t="s">
        <v>420</v>
      </c>
      <c r="C337" s="7" t="s">
        <v>449</v>
      </c>
      <c r="D337" s="7" t="s">
        <v>146</v>
      </c>
      <c r="E337" s="7"/>
      <c r="F337" s="7" t="s">
        <v>450</v>
      </c>
      <c r="G337" s="7">
        <v>1</v>
      </c>
      <c r="H337" s="7" t="s">
        <v>45</v>
      </c>
      <c r="I337" s="7">
        <f>(1.65+0.2)*(2.8+0.3)*G337</f>
        <v>5.735</v>
      </c>
      <c r="J337" s="9"/>
      <c r="K337" s="9"/>
    </row>
    <row r="338" ht="200.15" customHeight="1" spans="1:11">
      <c r="A338" s="7">
        <v>336</v>
      </c>
      <c r="B338" s="7" t="s">
        <v>451</v>
      </c>
      <c r="C338" s="7" t="s">
        <v>324</v>
      </c>
      <c r="D338" s="7" t="s">
        <v>146</v>
      </c>
      <c r="E338" s="7"/>
      <c r="F338" s="7" t="s">
        <v>197</v>
      </c>
      <c r="G338" s="7">
        <v>1</v>
      </c>
      <c r="H338" s="7" t="s">
        <v>45</v>
      </c>
      <c r="I338" s="7">
        <f>(3.6+0.2)*(2.8+0.3)*G338</f>
        <v>11.78</v>
      </c>
      <c r="J338" s="9"/>
      <c r="K338" s="9"/>
    </row>
    <row r="339" ht="200.15" customHeight="1" spans="1:11">
      <c r="A339" s="7">
        <v>337</v>
      </c>
      <c r="B339" s="7" t="s">
        <v>451</v>
      </c>
      <c r="C339" s="7" t="s">
        <v>452</v>
      </c>
      <c r="D339" s="7" t="s">
        <v>146</v>
      </c>
      <c r="E339" s="7"/>
      <c r="F339" s="7" t="s">
        <v>177</v>
      </c>
      <c r="G339" s="7">
        <v>1</v>
      </c>
      <c r="H339" s="7" t="s">
        <v>45</v>
      </c>
      <c r="I339" s="7">
        <f>(7.4+0.5)*(2.8+0.3)*G339</f>
        <v>24.49</v>
      </c>
      <c r="J339" s="9"/>
      <c r="K339" s="9"/>
    </row>
    <row r="340" ht="200.15" customHeight="1" spans="1:11">
      <c r="A340" s="7">
        <v>338</v>
      </c>
      <c r="B340" s="7" t="s">
        <v>451</v>
      </c>
      <c r="C340" s="7" t="s">
        <v>421</v>
      </c>
      <c r="D340" s="7" t="s">
        <v>146</v>
      </c>
      <c r="E340" s="7"/>
      <c r="F340" s="7" t="s">
        <v>422</v>
      </c>
      <c r="G340" s="7">
        <v>1</v>
      </c>
      <c r="H340" s="7" t="s">
        <v>45</v>
      </c>
      <c r="I340" s="7">
        <f>(5.95+0.5)*(2.8+0.3)*G340</f>
        <v>19.995</v>
      </c>
      <c r="J340" s="9"/>
      <c r="K340" s="9"/>
    </row>
    <row r="341" ht="288" customHeight="1" spans="1:11">
      <c r="A341" s="7">
        <v>339</v>
      </c>
      <c r="B341" s="7" t="s">
        <v>451</v>
      </c>
      <c r="C341" s="7" t="s">
        <v>317</v>
      </c>
      <c r="D341" s="7" t="s">
        <v>146</v>
      </c>
      <c r="E341" s="7"/>
      <c r="F341" s="7" t="s">
        <v>453</v>
      </c>
      <c r="G341" s="7">
        <v>6</v>
      </c>
      <c r="H341" s="7" t="s">
        <v>45</v>
      </c>
      <c r="I341" s="7">
        <f>(2.65+0.2+2.55+0.2+2.4+0.2+2.75+0.2+2.825+0.2+2.425+0.2)*(2.8+0.3)*G341</f>
        <v>312.48</v>
      </c>
      <c r="J341" s="9"/>
      <c r="K341" s="9"/>
    </row>
    <row r="342" ht="200.15" customHeight="1" spans="1:11">
      <c r="A342" s="7">
        <v>340</v>
      </c>
      <c r="B342" s="7" t="s">
        <v>451</v>
      </c>
      <c r="C342" s="7" t="s">
        <v>424</v>
      </c>
      <c r="D342" s="7" t="s">
        <v>146</v>
      </c>
      <c r="E342" s="7"/>
      <c r="F342" s="7" t="s">
        <v>454</v>
      </c>
      <c r="G342" s="7">
        <v>1</v>
      </c>
      <c r="H342" s="7" t="s">
        <v>45</v>
      </c>
      <c r="I342" s="7">
        <f>(15.785+2)*(2.8+0.3)*G342</f>
        <v>55.1335</v>
      </c>
      <c r="J342" s="9"/>
      <c r="K342" s="9"/>
    </row>
    <row r="343" ht="200.15" customHeight="1" spans="1:11">
      <c r="A343" s="7">
        <v>341</v>
      </c>
      <c r="B343" s="7" t="s">
        <v>451</v>
      </c>
      <c r="C343" s="7" t="s">
        <v>280</v>
      </c>
      <c r="D343" s="7" t="s">
        <v>146</v>
      </c>
      <c r="E343" s="7"/>
      <c r="F343" s="7" t="s">
        <v>455</v>
      </c>
      <c r="G343" s="7">
        <v>2</v>
      </c>
      <c r="H343" s="7" t="s">
        <v>45</v>
      </c>
      <c r="I343" s="7">
        <f>(3.6+0.2)*(3.2+0.3)*G343</f>
        <v>26.6</v>
      </c>
      <c r="J343" s="9"/>
      <c r="K343" s="9"/>
    </row>
    <row r="344" ht="200.15" customHeight="1" spans="1:11">
      <c r="A344" s="7">
        <v>342</v>
      </c>
      <c r="B344" s="7" t="s">
        <v>451</v>
      </c>
      <c r="C344" s="7" t="s">
        <v>431</v>
      </c>
      <c r="D344" s="7" t="s">
        <v>146</v>
      </c>
      <c r="E344" s="7"/>
      <c r="F344" s="7" t="s">
        <v>456</v>
      </c>
      <c r="G344" s="7">
        <v>2</v>
      </c>
      <c r="H344" s="7" t="s">
        <v>45</v>
      </c>
      <c r="I344" s="7">
        <f>(4.2+0.2+1.95+0.2)*(2.8+0.3)*G344</f>
        <v>40.61</v>
      </c>
      <c r="J344" s="9"/>
      <c r="K344" s="9"/>
    </row>
    <row r="345" ht="200.15" customHeight="1" spans="1:11">
      <c r="A345" s="7">
        <v>343</v>
      </c>
      <c r="B345" s="7" t="s">
        <v>451</v>
      </c>
      <c r="C345" s="7" t="s">
        <v>174</v>
      </c>
      <c r="D345" s="7" t="s">
        <v>146</v>
      </c>
      <c r="E345" s="7"/>
      <c r="F345" s="7" t="s">
        <v>114</v>
      </c>
      <c r="G345" s="7">
        <v>1</v>
      </c>
      <c r="H345" s="7" t="s">
        <v>45</v>
      </c>
      <c r="I345" s="7">
        <f>(3+0.2)*(2.8+0.3)*G345</f>
        <v>9.92</v>
      </c>
      <c r="J345" s="9"/>
      <c r="K345" s="9"/>
    </row>
    <row r="346" ht="200.15" customHeight="1" spans="1:11">
      <c r="A346" s="7">
        <v>344</v>
      </c>
      <c r="B346" s="7" t="s">
        <v>451</v>
      </c>
      <c r="C346" s="7" t="s">
        <v>433</v>
      </c>
      <c r="D346" s="7" t="s">
        <v>146</v>
      </c>
      <c r="E346" s="7"/>
      <c r="F346" s="7" t="s">
        <v>457</v>
      </c>
      <c r="G346" s="7">
        <v>2</v>
      </c>
      <c r="H346" s="7" t="s">
        <v>45</v>
      </c>
      <c r="I346" s="7">
        <f>(2.35+0.2+4.575+0.2)*(2.8+0.3)*G346</f>
        <v>45.415</v>
      </c>
      <c r="J346" s="9"/>
      <c r="K346" s="9"/>
    </row>
    <row r="347" ht="200.15" customHeight="1" spans="1:11">
      <c r="A347" s="7">
        <v>345</v>
      </c>
      <c r="B347" s="7" t="s">
        <v>451</v>
      </c>
      <c r="C347" s="7" t="s">
        <v>434</v>
      </c>
      <c r="D347" s="7" t="s">
        <v>146</v>
      </c>
      <c r="E347" s="7"/>
      <c r="F347" s="7" t="s">
        <v>399</v>
      </c>
      <c r="G347" s="7">
        <v>1</v>
      </c>
      <c r="H347" s="7" t="s">
        <v>45</v>
      </c>
      <c r="I347" s="7">
        <f>(2.85+0.2)*(2.8+0.3)*G347</f>
        <v>9.455</v>
      </c>
      <c r="J347" s="9"/>
      <c r="K347" s="9"/>
    </row>
    <row r="348" ht="200.15" customHeight="1" spans="1:11">
      <c r="A348" s="7">
        <v>346</v>
      </c>
      <c r="B348" s="7" t="s">
        <v>451</v>
      </c>
      <c r="C348" s="7" t="s">
        <v>458</v>
      </c>
      <c r="D348" s="7" t="s">
        <v>146</v>
      </c>
      <c r="E348" s="7"/>
      <c r="F348" s="7" t="s">
        <v>351</v>
      </c>
      <c r="G348" s="7">
        <v>1</v>
      </c>
      <c r="H348" s="7" t="s">
        <v>45</v>
      </c>
      <c r="I348" s="7">
        <f>(2.25+0.2)*(2.8+0.3)*G348</f>
        <v>7.595</v>
      </c>
      <c r="J348" s="9"/>
      <c r="K348" s="9"/>
    </row>
    <row r="349" ht="200.15" customHeight="1" spans="1:11">
      <c r="A349" s="7">
        <v>347</v>
      </c>
      <c r="B349" s="7" t="s">
        <v>451</v>
      </c>
      <c r="C349" s="7" t="s">
        <v>435</v>
      </c>
      <c r="D349" s="7" t="s">
        <v>146</v>
      </c>
      <c r="E349" s="7"/>
      <c r="F349" s="7" t="s">
        <v>197</v>
      </c>
      <c r="G349" s="7">
        <v>1</v>
      </c>
      <c r="H349" s="7" t="s">
        <v>45</v>
      </c>
      <c r="I349" s="7">
        <f>(3.6+0.2)*(2.8+0.3)*G349</f>
        <v>11.78</v>
      </c>
      <c r="J349" s="9"/>
      <c r="K349" s="9"/>
    </row>
    <row r="350" ht="200.15" customHeight="1" spans="1:11">
      <c r="A350" s="7">
        <v>348</v>
      </c>
      <c r="B350" s="7" t="s">
        <v>451</v>
      </c>
      <c r="C350" s="7" t="s">
        <v>439</v>
      </c>
      <c r="D350" s="7" t="s">
        <v>146</v>
      </c>
      <c r="E350" s="7"/>
      <c r="F350" s="7" t="s">
        <v>459</v>
      </c>
      <c r="G350" s="7">
        <v>1</v>
      </c>
      <c r="H350" s="7" t="s">
        <v>45</v>
      </c>
      <c r="I350" s="7">
        <f>(5.35+0.5)*(2.8+0.3)*G350</f>
        <v>18.135</v>
      </c>
      <c r="J350" s="9"/>
      <c r="K350" s="9"/>
    </row>
    <row r="351" ht="200.15" customHeight="1" spans="1:11">
      <c r="A351" s="7">
        <v>349</v>
      </c>
      <c r="B351" s="7" t="s">
        <v>451</v>
      </c>
      <c r="C351" s="7" t="s">
        <v>460</v>
      </c>
      <c r="D351" s="7" t="s">
        <v>146</v>
      </c>
      <c r="E351" s="7"/>
      <c r="F351" s="7" t="s">
        <v>461</v>
      </c>
      <c r="G351" s="7">
        <v>4</v>
      </c>
      <c r="H351" s="7" t="s">
        <v>45</v>
      </c>
      <c r="I351" s="7">
        <f>(2.025+0.2+1+0.2+3.48+0.2+3.33+0.2)*(2.8+0.3)*G351</f>
        <v>131.874</v>
      </c>
      <c r="J351" s="9"/>
      <c r="K351" s="9"/>
    </row>
    <row r="352" ht="200.15" customHeight="1" spans="1:11">
      <c r="A352" s="7">
        <v>350</v>
      </c>
      <c r="B352" s="7" t="s">
        <v>451</v>
      </c>
      <c r="C352" s="7" t="s">
        <v>440</v>
      </c>
      <c r="D352" s="7" t="s">
        <v>146</v>
      </c>
      <c r="E352" s="7"/>
      <c r="F352" s="7" t="s">
        <v>462</v>
      </c>
      <c r="G352" s="7">
        <v>1</v>
      </c>
      <c r="H352" s="7" t="s">
        <v>45</v>
      </c>
      <c r="I352" s="7">
        <f>(2.575+0.2)*(2.8+0.3)*G352</f>
        <v>8.6025</v>
      </c>
      <c r="J352" s="9"/>
      <c r="K352" s="9"/>
    </row>
    <row r="353" ht="200.15" customHeight="1" spans="1:11">
      <c r="A353" s="7">
        <v>351</v>
      </c>
      <c r="B353" s="7" t="s">
        <v>451</v>
      </c>
      <c r="C353" s="7" t="s">
        <v>442</v>
      </c>
      <c r="D353" s="7" t="s">
        <v>146</v>
      </c>
      <c r="E353" s="7"/>
      <c r="F353" s="7" t="s">
        <v>213</v>
      </c>
      <c r="G353" s="7">
        <v>1</v>
      </c>
      <c r="H353" s="7" t="s">
        <v>45</v>
      </c>
      <c r="I353" s="7">
        <f>(4.9+0.4)*(2.8+0.3)*G353</f>
        <v>16.43</v>
      </c>
      <c r="J353" s="9"/>
      <c r="K353" s="9"/>
    </row>
    <row r="354" ht="200.15" customHeight="1" spans="1:11">
      <c r="A354" s="7">
        <v>352</v>
      </c>
      <c r="B354" s="7" t="s">
        <v>451</v>
      </c>
      <c r="C354" s="7" t="s">
        <v>443</v>
      </c>
      <c r="D354" s="7" t="s">
        <v>146</v>
      </c>
      <c r="E354" s="7"/>
      <c r="F354" s="7" t="s">
        <v>344</v>
      </c>
      <c r="G354" s="7">
        <v>1</v>
      </c>
      <c r="H354" s="7" t="s">
        <v>45</v>
      </c>
      <c r="I354" s="7">
        <f>(3.75+0.2)*(2.8+0.3)*G354</f>
        <v>12.245</v>
      </c>
      <c r="J354" s="9"/>
      <c r="K354" s="9"/>
    </row>
    <row r="355" ht="200.15" customHeight="1" spans="1:11">
      <c r="A355" s="7">
        <v>353</v>
      </c>
      <c r="B355" s="7" t="s">
        <v>451</v>
      </c>
      <c r="C355" s="7" t="s">
        <v>366</v>
      </c>
      <c r="D355" s="7" t="s">
        <v>146</v>
      </c>
      <c r="E355" s="7"/>
      <c r="F355" s="7" t="s">
        <v>301</v>
      </c>
      <c r="G355" s="7">
        <v>1</v>
      </c>
      <c r="H355" s="7" t="s">
        <v>45</v>
      </c>
      <c r="I355" s="7">
        <f>(3.7+0.2)*(2.8+0.3)*G355</f>
        <v>12.09</v>
      </c>
      <c r="J355" s="9"/>
      <c r="K355" s="9"/>
    </row>
    <row r="356" ht="200.15" customHeight="1" spans="1:11">
      <c r="A356" s="7">
        <v>354</v>
      </c>
      <c r="B356" s="7" t="s">
        <v>451</v>
      </c>
      <c r="C356" s="7" t="s">
        <v>174</v>
      </c>
      <c r="D356" s="7" t="s">
        <v>146</v>
      </c>
      <c r="E356" s="7"/>
      <c r="F356" s="7" t="s">
        <v>114</v>
      </c>
      <c r="G356" s="7">
        <v>1</v>
      </c>
      <c r="H356" s="7" t="s">
        <v>45</v>
      </c>
      <c r="I356" s="7">
        <f>(3+0.2)*(2.8+0.3)*G356</f>
        <v>9.92</v>
      </c>
      <c r="J356" s="9"/>
      <c r="K356" s="9"/>
    </row>
    <row r="357" ht="200.15" customHeight="1" spans="1:11">
      <c r="A357" s="7">
        <v>355</v>
      </c>
      <c r="B357" s="7" t="s">
        <v>451</v>
      </c>
      <c r="C357" s="7" t="s">
        <v>412</v>
      </c>
      <c r="D357" s="7" t="s">
        <v>146</v>
      </c>
      <c r="E357" s="7"/>
      <c r="F357" s="7" t="s">
        <v>294</v>
      </c>
      <c r="G357" s="7">
        <v>1</v>
      </c>
      <c r="H357" s="7" t="s">
        <v>45</v>
      </c>
      <c r="I357" s="7">
        <f>(2.1+0.2)*(2.8+0.3)*G357</f>
        <v>7.13</v>
      </c>
      <c r="J357" s="9"/>
      <c r="K357" s="9"/>
    </row>
    <row r="358" ht="200.15" customHeight="1" spans="1:11">
      <c r="A358" s="7">
        <v>356</v>
      </c>
      <c r="B358" s="7" t="s">
        <v>451</v>
      </c>
      <c r="C358" s="7" t="s">
        <v>444</v>
      </c>
      <c r="D358" s="7" t="s">
        <v>146</v>
      </c>
      <c r="E358" s="7"/>
      <c r="F358" s="7" t="s">
        <v>294</v>
      </c>
      <c r="G358" s="7">
        <v>1</v>
      </c>
      <c r="H358" s="7" t="s">
        <v>45</v>
      </c>
      <c r="I358" s="7">
        <f>(2.1+0.2)*(2.8+0.3)*G358</f>
        <v>7.13</v>
      </c>
      <c r="J358" s="9"/>
      <c r="K358" s="9"/>
    </row>
    <row r="359" ht="200.15" customHeight="1" spans="1:11">
      <c r="A359" s="7">
        <v>357</v>
      </c>
      <c r="B359" s="7" t="s">
        <v>451</v>
      </c>
      <c r="C359" s="7" t="s">
        <v>463</v>
      </c>
      <c r="D359" s="7" t="s">
        <v>146</v>
      </c>
      <c r="E359" s="7"/>
      <c r="F359" s="7" t="s">
        <v>464</v>
      </c>
      <c r="G359" s="7">
        <v>1</v>
      </c>
      <c r="H359" s="7" t="s">
        <v>45</v>
      </c>
      <c r="I359" s="7">
        <f>(3.73+0.2)*(2.8+0.3)*G359</f>
        <v>12.183</v>
      </c>
      <c r="J359" s="9"/>
      <c r="K359" s="9"/>
    </row>
    <row r="360" ht="200.15" customHeight="1" spans="1:11">
      <c r="A360" s="7">
        <v>358</v>
      </c>
      <c r="B360" s="7" t="s">
        <v>451</v>
      </c>
      <c r="C360" s="7" t="s">
        <v>410</v>
      </c>
      <c r="D360" s="7" t="s">
        <v>146</v>
      </c>
      <c r="E360" s="7"/>
      <c r="F360" s="7" t="s">
        <v>465</v>
      </c>
      <c r="G360" s="7">
        <v>1</v>
      </c>
      <c r="H360" s="7" t="s">
        <v>45</v>
      </c>
      <c r="I360" s="7">
        <f>(3.575+0.2)*(2.8+0.3)*G360</f>
        <v>11.7025</v>
      </c>
      <c r="J360" s="9"/>
      <c r="K360" s="9"/>
    </row>
    <row r="361" ht="200.15" customHeight="1" spans="1:11">
      <c r="A361" s="7">
        <v>359</v>
      </c>
      <c r="B361" s="7" t="s">
        <v>451</v>
      </c>
      <c r="C361" s="7" t="s">
        <v>445</v>
      </c>
      <c r="D361" s="7" t="s">
        <v>146</v>
      </c>
      <c r="E361" s="7"/>
      <c r="F361" s="7" t="s">
        <v>466</v>
      </c>
      <c r="G361" s="7">
        <v>1</v>
      </c>
      <c r="H361" s="7" t="s">
        <v>45</v>
      </c>
      <c r="I361" s="7">
        <f>(4.575+0.4)*(2.8+0.3)*G361</f>
        <v>15.4225</v>
      </c>
      <c r="J361" s="9"/>
      <c r="K361" s="9"/>
    </row>
    <row r="362" ht="200.15" customHeight="1" spans="1:11">
      <c r="A362" s="7">
        <v>360</v>
      </c>
      <c r="B362" s="7" t="s">
        <v>451</v>
      </c>
      <c r="C362" s="7" t="s">
        <v>467</v>
      </c>
      <c r="D362" s="7" t="s">
        <v>146</v>
      </c>
      <c r="E362" s="7"/>
      <c r="F362" s="7" t="s">
        <v>468</v>
      </c>
      <c r="G362" s="7">
        <v>1</v>
      </c>
      <c r="H362" s="7" t="s">
        <v>45</v>
      </c>
      <c r="I362" s="7">
        <f>(8.425+2)*(2.8+0.3)*G362</f>
        <v>32.3175</v>
      </c>
      <c r="J362" s="9"/>
      <c r="K362" s="9"/>
    </row>
    <row r="363" ht="200.15" customHeight="1" spans="1:11">
      <c r="A363" s="7">
        <v>361</v>
      </c>
      <c r="B363" s="7" t="s">
        <v>451</v>
      </c>
      <c r="C363" s="7" t="s">
        <v>174</v>
      </c>
      <c r="D363" s="7" t="s">
        <v>146</v>
      </c>
      <c r="E363" s="7"/>
      <c r="F363" s="7" t="s">
        <v>356</v>
      </c>
      <c r="G363" s="7">
        <v>1</v>
      </c>
      <c r="H363" s="7" t="s">
        <v>45</v>
      </c>
      <c r="I363" s="7">
        <f>(3.85+0.2)*(2.8+0.3)*G363</f>
        <v>12.555</v>
      </c>
      <c r="J363" s="9"/>
      <c r="K363" s="9"/>
    </row>
    <row r="364" ht="200.15" customHeight="1" spans="1:11">
      <c r="A364" s="7">
        <v>362</v>
      </c>
      <c r="B364" s="7" t="s">
        <v>451</v>
      </c>
      <c r="C364" s="7" t="s">
        <v>469</v>
      </c>
      <c r="D364" s="7" t="s">
        <v>146</v>
      </c>
      <c r="E364" s="7"/>
      <c r="F364" s="7" t="s">
        <v>470</v>
      </c>
      <c r="G364" s="7">
        <v>1</v>
      </c>
      <c r="H364" s="7" t="s">
        <v>45</v>
      </c>
      <c r="I364" s="7">
        <f>(4.2+0.2)*(2.8+0.3)*G364</f>
        <v>13.64</v>
      </c>
      <c r="J364" s="9"/>
      <c r="K364" s="9"/>
    </row>
    <row r="365" ht="200.15" customHeight="1" spans="1:11">
      <c r="A365" s="7">
        <v>363</v>
      </c>
      <c r="B365" s="7" t="s">
        <v>451</v>
      </c>
      <c r="C365" s="7" t="s">
        <v>471</v>
      </c>
      <c r="D365" s="7" t="s">
        <v>146</v>
      </c>
      <c r="E365" s="7"/>
      <c r="F365" s="7" t="s">
        <v>227</v>
      </c>
      <c r="G365" s="7">
        <v>1</v>
      </c>
      <c r="H365" s="7" t="s">
        <v>45</v>
      </c>
      <c r="I365" s="7">
        <f>(4.65+0.2)*(2.8+0.3)*G365</f>
        <v>15.035</v>
      </c>
      <c r="J365" s="9"/>
      <c r="K365" s="9"/>
    </row>
    <row r="366" ht="200.15" customHeight="1" spans="1:11">
      <c r="A366" s="7">
        <v>364</v>
      </c>
      <c r="B366" s="7" t="s">
        <v>451</v>
      </c>
      <c r="C366" s="7" t="s">
        <v>320</v>
      </c>
      <c r="D366" s="7" t="s">
        <v>146</v>
      </c>
      <c r="E366" s="7"/>
      <c r="F366" s="7" t="s">
        <v>472</v>
      </c>
      <c r="G366" s="7">
        <v>3</v>
      </c>
      <c r="H366" s="7" t="s">
        <v>45</v>
      </c>
      <c r="I366" s="7">
        <f>(2.1+0.2+2+0.2)*(2.8+0.3)*G366</f>
        <v>41.85</v>
      </c>
      <c r="J366" s="9"/>
      <c r="K366" s="9"/>
    </row>
    <row r="367" ht="200.15" customHeight="1" spans="1:11">
      <c r="A367" s="7">
        <v>365</v>
      </c>
      <c r="B367" s="7" t="s">
        <v>130</v>
      </c>
      <c r="C367" s="7" t="s">
        <v>421</v>
      </c>
      <c r="D367" s="7" t="s">
        <v>146</v>
      </c>
      <c r="E367" s="7"/>
      <c r="F367" s="7" t="s">
        <v>422</v>
      </c>
      <c r="G367" s="7">
        <v>1</v>
      </c>
      <c r="H367" s="7" t="s">
        <v>45</v>
      </c>
      <c r="I367" s="7">
        <f>(5.95+0.5)*(2.8+0.3)*G367</f>
        <v>19.995</v>
      </c>
      <c r="J367" s="9"/>
      <c r="K367" s="9"/>
    </row>
    <row r="368" ht="243" customHeight="1" spans="1:11">
      <c r="A368" s="7">
        <v>366</v>
      </c>
      <c r="B368" s="7" t="s">
        <v>130</v>
      </c>
      <c r="C368" s="7" t="s">
        <v>317</v>
      </c>
      <c r="D368" s="7" t="s">
        <v>146</v>
      </c>
      <c r="E368" s="7"/>
      <c r="F368" s="7" t="s">
        <v>453</v>
      </c>
      <c r="G368" s="7">
        <v>6</v>
      </c>
      <c r="H368" s="7" t="s">
        <v>45</v>
      </c>
      <c r="I368" s="7">
        <f>(2.65+0.2+2.55+0.2+2.4+0.2+2.75+0.2+2.825+0.2+2.425+0.2)*(2.8+0.3)*G368</f>
        <v>312.48</v>
      </c>
      <c r="J368" s="9"/>
      <c r="K368" s="9"/>
    </row>
    <row r="369" ht="225" customHeight="1" spans="1:11">
      <c r="A369" s="7">
        <v>367</v>
      </c>
      <c r="B369" s="7" t="s">
        <v>130</v>
      </c>
      <c r="C369" s="7" t="s">
        <v>324</v>
      </c>
      <c r="D369" s="7" t="s">
        <v>146</v>
      </c>
      <c r="E369" s="7"/>
      <c r="F369" s="7" t="s">
        <v>473</v>
      </c>
      <c r="G369" s="7">
        <v>1</v>
      </c>
      <c r="H369" s="7" t="s">
        <v>45</v>
      </c>
      <c r="I369" s="7">
        <f>(2.875+0.2)*(2.8+0.3)*G369</f>
        <v>9.5325</v>
      </c>
      <c r="J369" s="9"/>
      <c r="K369" s="9"/>
    </row>
    <row r="370" ht="225" customHeight="1" spans="1:11">
      <c r="A370" s="7">
        <v>368</v>
      </c>
      <c r="B370" s="7" t="s">
        <v>130</v>
      </c>
      <c r="C370" s="7" t="s">
        <v>424</v>
      </c>
      <c r="D370" s="7" t="s">
        <v>146</v>
      </c>
      <c r="E370" s="7"/>
      <c r="F370" s="7" t="s">
        <v>425</v>
      </c>
      <c r="G370" s="7">
        <v>1</v>
      </c>
      <c r="H370" s="7" t="s">
        <v>45</v>
      </c>
      <c r="I370" s="7">
        <f>(19.85+2)*(2.8+0.3)*G370</f>
        <v>67.735</v>
      </c>
      <c r="J370" s="9"/>
      <c r="K370" s="9"/>
    </row>
    <row r="371" ht="225" customHeight="1" spans="1:11">
      <c r="A371" s="7">
        <v>369</v>
      </c>
      <c r="B371" s="7" t="s">
        <v>130</v>
      </c>
      <c r="C371" s="7" t="s">
        <v>426</v>
      </c>
      <c r="D371" s="7" t="s">
        <v>146</v>
      </c>
      <c r="E371" s="7"/>
      <c r="F371" s="7" t="s">
        <v>427</v>
      </c>
      <c r="G371" s="7">
        <v>1</v>
      </c>
      <c r="H371" s="7" t="s">
        <v>45</v>
      </c>
      <c r="I371" s="7">
        <f>(4.9+0.4+3.6+0.2)*(2.8+0.3)*G371</f>
        <v>28.21</v>
      </c>
      <c r="J371" s="9"/>
      <c r="K371" s="9"/>
    </row>
    <row r="372" ht="225" customHeight="1" spans="1:11">
      <c r="A372" s="7">
        <v>370</v>
      </c>
      <c r="B372" s="7" t="s">
        <v>130</v>
      </c>
      <c r="C372" s="7" t="s">
        <v>320</v>
      </c>
      <c r="D372" s="7" t="s">
        <v>146</v>
      </c>
      <c r="E372" s="7"/>
      <c r="F372" s="7" t="s">
        <v>428</v>
      </c>
      <c r="G372" s="7">
        <v>3</v>
      </c>
      <c r="H372" s="7" t="s">
        <v>45</v>
      </c>
      <c r="I372" s="7">
        <f>(2+0.2+2.1+0.2+2.4+0.2)*(2.8+0.3)*G372</f>
        <v>66.03</v>
      </c>
      <c r="J372" s="9"/>
      <c r="K372" s="9"/>
    </row>
    <row r="373" ht="225" customHeight="1" spans="1:11">
      <c r="A373" s="7">
        <v>371</v>
      </c>
      <c r="B373" s="7" t="s">
        <v>130</v>
      </c>
      <c r="C373" s="7" t="s">
        <v>280</v>
      </c>
      <c r="D373" s="7" t="s">
        <v>146</v>
      </c>
      <c r="E373" s="7"/>
      <c r="F373" s="7" t="s">
        <v>429</v>
      </c>
      <c r="G373" s="7">
        <v>2</v>
      </c>
      <c r="H373" s="7" t="s">
        <v>45</v>
      </c>
      <c r="I373" s="7">
        <f>(3.6+0.2+3.2+0.2)*(2.8+0.3)*G373</f>
        <v>44.64</v>
      </c>
      <c r="J373" s="9"/>
      <c r="K373" s="9"/>
    </row>
    <row r="374" ht="225" customHeight="1" spans="1:11">
      <c r="A374" s="7">
        <v>372</v>
      </c>
      <c r="B374" s="7" t="s">
        <v>130</v>
      </c>
      <c r="C374" s="7" t="s">
        <v>412</v>
      </c>
      <c r="D374" s="7" t="s">
        <v>146</v>
      </c>
      <c r="E374" s="7"/>
      <c r="F374" s="7" t="s">
        <v>430</v>
      </c>
      <c r="G374" s="7">
        <v>1</v>
      </c>
      <c r="H374" s="7" t="s">
        <v>45</v>
      </c>
      <c r="I374" s="7">
        <f>(3.05+0.2)*(2.8+0.3)*G374</f>
        <v>10.075</v>
      </c>
      <c r="J374" s="9"/>
      <c r="K374" s="9"/>
    </row>
    <row r="375" ht="225" customHeight="1" spans="1:11">
      <c r="A375" s="7">
        <v>373</v>
      </c>
      <c r="B375" s="7" t="s">
        <v>130</v>
      </c>
      <c r="C375" s="7" t="s">
        <v>431</v>
      </c>
      <c r="D375" s="7" t="s">
        <v>146</v>
      </c>
      <c r="E375" s="7"/>
      <c r="F375" s="7" t="s">
        <v>432</v>
      </c>
      <c r="G375" s="7">
        <v>1</v>
      </c>
      <c r="H375" s="7" t="s">
        <v>45</v>
      </c>
      <c r="I375" s="7">
        <f>(6.45+0.6)*(2.8+0.3)*G375</f>
        <v>21.855</v>
      </c>
      <c r="J375" s="9"/>
      <c r="K375" s="9"/>
    </row>
    <row r="376" ht="225" customHeight="1" spans="1:11">
      <c r="A376" s="7">
        <v>374</v>
      </c>
      <c r="B376" s="7" t="s">
        <v>130</v>
      </c>
      <c r="C376" s="7" t="s">
        <v>433</v>
      </c>
      <c r="D376" s="7" t="s">
        <v>146</v>
      </c>
      <c r="E376" s="7"/>
      <c r="F376" s="7" t="s">
        <v>247</v>
      </c>
      <c r="G376" s="7">
        <v>1</v>
      </c>
      <c r="H376" s="7" t="s">
        <v>45</v>
      </c>
      <c r="I376" s="7">
        <f>(4.5+0.4)*(2.8+0.3)*G376</f>
        <v>15.19</v>
      </c>
      <c r="J376" s="9"/>
      <c r="K376" s="9"/>
    </row>
    <row r="377" ht="225" customHeight="1" spans="1:11">
      <c r="A377" s="7">
        <v>375</v>
      </c>
      <c r="B377" s="7" t="s">
        <v>130</v>
      </c>
      <c r="C377" s="7" t="s">
        <v>426</v>
      </c>
      <c r="D377" s="7" t="s">
        <v>146</v>
      </c>
      <c r="E377" s="7"/>
      <c r="F377" s="7" t="s">
        <v>194</v>
      </c>
      <c r="G377" s="7">
        <v>1</v>
      </c>
      <c r="H377" s="7" t="s">
        <v>45</v>
      </c>
      <c r="I377" s="7">
        <f>(2.9+0.2)*(2.8+0.3)*G377</f>
        <v>9.61</v>
      </c>
      <c r="J377" s="9"/>
      <c r="K377" s="9"/>
    </row>
    <row r="378" ht="225" customHeight="1" spans="1:11">
      <c r="A378" s="7">
        <v>376</v>
      </c>
      <c r="B378" s="7" t="s">
        <v>130</v>
      </c>
      <c r="C378" s="7" t="s">
        <v>434</v>
      </c>
      <c r="D378" s="7" t="s">
        <v>146</v>
      </c>
      <c r="E378" s="7"/>
      <c r="F378" s="7" t="s">
        <v>168</v>
      </c>
      <c r="G378" s="7">
        <v>1</v>
      </c>
      <c r="H378" s="7" t="s">
        <v>45</v>
      </c>
      <c r="I378" s="7">
        <f>(7.6+1)*(2.8+0.3)*G378</f>
        <v>26.66</v>
      </c>
      <c r="J378" s="9"/>
      <c r="K378" s="9"/>
    </row>
    <row r="379" ht="225" customHeight="1" spans="1:11">
      <c r="A379" s="7">
        <v>377</v>
      </c>
      <c r="B379" s="7" t="s">
        <v>130</v>
      </c>
      <c r="C379" s="7" t="s">
        <v>435</v>
      </c>
      <c r="D379" s="7" t="s">
        <v>146</v>
      </c>
      <c r="E379" s="7"/>
      <c r="F379" s="7" t="s">
        <v>436</v>
      </c>
      <c r="G379" s="7">
        <v>1</v>
      </c>
      <c r="H379" s="7" t="s">
        <v>45</v>
      </c>
      <c r="I379" s="7">
        <f>(7.45+1)*(2.8+0.3)*G379</f>
        <v>26.195</v>
      </c>
      <c r="J379" s="9"/>
      <c r="K379" s="9"/>
    </row>
    <row r="380" ht="225" customHeight="1" spans="1:11">
      <c r="A380" s="7">
        <v>378</v>
      </c>
      <c r="B380" s="7" t="s">
        <v>130</v>
      </c>
      <c r="C380" s="7" t="s">
        <v>437</v>
      </c>
      <c r="D380" s="7" t="s">
        <v>146</v>
      </c>
      <c r="E380" s="7"/>
      <c r="F380" s="7" t="s">
        <v>438</v>
      </c>
      <c r="G380" s="7">
        <v>1</v>
      </c>
      <c r="H380" s="7" t="s">
        <v>45</v>
      </c>
      <c r="I380" s="7">
        <f>(1.45+0.2)*(2.8+0.3)*G380</f>
        <v>5.115</v>
      </c>
      <c r="J380" s="9"/>
      <c r="K380" s="9"/>
    </row>
    <row r="381" ht="225" customHeight="1" spans="1:11">
      <c r="A381" s="7">
        <v>379</v>
      </c>
      <c r="B381" s="7" t="s">
        <v>130</v>
      </c>
      <c r="C381" s="7" t="s">
        <v>439</v>
      </c>
      <c r="D381" s="7" t="s">
        <v>146</v>
      </c>
      <c r="E381" s="7"/>
      <c r="F381" s="7" t="s">
        <v>422</v>
      </c>
      <c r="G381" s="7">
        <v>1</v>
      </c>
      <c r="H381" s="7" t="s">
        <v>45</v>
      </c>
      <c r="I381" s="7">
        <f>(5.95+0.5)*(2.8+0.3)*G381</f>
        <v>19.995</v>
      </c>
      <c r="J381" s="9"/>
      <c r="K381" s="9"/>
    </row>
    <row r="382" ht="225" customHeight="1" spans="1:11">
      <c r="A382" s="7">
        <v>380</v>
      </c>
      <c r="B382" s="7" t="s">
        <v>130</v>
      </c>
      <c r="C382" s="7" t="s">
        <v>440</v>
      </c>
      <c r="D382" s="7" t="s">
        <v>146</v>
      </c>
      <c r="E382" s="7"/>
      <c r="F382" s="7" t="s">
        <v>441</v>
      </c>
      <c r="G382" s="7">
        <v>1</v>
      </c>
      <c r="H382" s="7" t="s">
        <v>45</v>
      </c>
      <c r="I382" s="7">
        <f>(2.55+0.2)*(2.8+0.3)*G382</f>
        <v>8.525</v>
      </c>
      <c r="J382" s="9"/>
      <c r="K382" s="9"/>
    </row>
    <row r="383" ht="225" customHeight="1" spans="1:11">
      <c r="A383" s="7">
        <v>381</v>
      </c>
      <c r="B383" s="7" t="s">
        <v>130</v>
      </c>
      <c r="C383" s="7" t="s">
        <v>442</v>
      </c>
      <c r="D383" s="7" t="s">
        <v>146</v>
      </c>
      <c r="E383" s="7"/>
      <c r="F383" s="7" t="s">
        <v>386</v>
      </c>
      <c r="G383" s="7">
        <v>1</v>
      </c>
      <c r="H383" s="7" t="s">
        <v>45</v>
      </c>
      <c r="I383" s="7">
        <f>(4.95+0.2)*(2.8+0.3)*G383</f>
        <v>15.965</v>
      </c>
      <c r="J383" s="9"/>
      <c r="K383" s="9"/>
    </row>
    <row r="384" ht="225" customHeight="1" spans="1:11">
      <c r="A384" s="7">
        <v>382</v>
      </c>
      <c r="B384" s="7" t="s">
        <v>130</v>
      </c>
      <c r="C384" s="7" t="s">
        <v>443</v>
      </c>
      <c r="D384" s="7" t="s">
        <v>146</v>
      </c>
      <c r="E384" s="7"/>
      <c r="F384" s="7" t="s">
        <v>168</v>
      </c>
      <c r="G384" s="7">
        <v>1</v>
      </c>
      <c r="H384" s="7" t="s">
        <v>45</v>
      </c>
      <c r="I384" s="7">
        <f>(7.6+0.5)*(2.8+0.3)*G384</f>
        <v>25.11</v>
      </c>
      <c r="J384" s="9"/>
      <c r="K384" s="9"/>
    </row>
    <row r="385" ht="225" customHeight="1" spans="1:11">
      <c r="A385" s="7">
        <v>383</v>
      </c>
      <c r="B385" s="7" t="s">
        <v>130</v>
      </c>
      <c r="C385" s="7" t="s">
        <v>366</v>
      </c>
      <c r="D385" s="7" t="s">
        <v>146</v>
      </c>
      <c r="E385" s="7"/>
      <c r="F385" s="7" t="s">
        <v>344</v>
      </c>
      <c r="G385" s="7">
        <v>1</v>
      </c>
      <c r="H385" s="7" t="s">
        <v>45</v>
      </c>
      <c r="I385" s="7">
        <f>(3.75+0.2)*(2.8+0.3)*G385</f>
        <v>12.245</v>
      </c>
      <c r="J385" s="9"/>
      <c r="K385" s="9"/>
    </row>
    <row r="386" ht="225" customHeight="1" spans="1:11">
      <c r="A386" s="7">
        <v>384</v>
      </c>
      <c r="B386" s="7" t="s">
        <v>130</v>
      </c>
      <c r="C386" s="7" t="s">
        <v>174</v>
      </c>
      <c r="D386" s="7" t="s">
        <v>146</v>
      </c>
      <c r="E386" s="7"/>
      <c r="F386" s="7" t="s">
        <v>301</v>
      </c>
      <c r="G386" s="7">
        <v>1</v>
      </c>
      <c r="H386" s="7" t="s">
        <v>45</v>
      </c>
      <c r="I386" s="7">
        <f>(3.7+0.2)*(2.8+0.3)*G386</f>
        <v>12.09</v>
      </c>
      <c r="J386" s="9"/>
      <c r="K386" s="9"/>
    </row>
    <row r="387" ht="225" customHeight="1" spans="1:11">
      <c r="A387" s="7">
        <v>385</v>
      </c>
      <c r="B387" s="7" t="s">
        <v>130</v>
      </c>
      <c r="C387" s="7" t="s">
        <v>412</v>
      </c>
      <c r="D387" s="7" t="s">
        <v>146</v>
      </c>
      <c r="E387" s="7"/>
      <c r="F387" s="7" t="s">
        <v>114</v>
      </c>
      <c r="G387" s="7">
        <v>1</v>
      </c>
      <c r="H387" s="7" t="s">
        <v>45</v>
      </c>
      <c r="I387" s="7">
        <f>(3+0.2)*(2.8+0.3)*G387</f>
        <v>9.92</v>
      </c>
      <c r="J387" s="9"/>
      <c r="K387" s="9"/>
    </row>
    <row r="388" ht="225" customHeight="1" spans="1:11">
      <c r="A388" s="7">
        <v>386</v>
      </c>
      <c r="B388" s="7" t="s">
        <v>130</v>
      </c>
      <c r="C388" s="7" t="s">
        <v>444</v>
      </c>
      <c r="D388" s="7" t="s">
        <v>146</v>
      </c>
      <c r="E388" s="7"/>
      <c r="F388" s="7" t="s">
        <v>294</v>
      </c>
      <c r="G388" s="7">
        <v>1</v>
      </c>
      <c r="H388" s="7" t="s">
        <v>45</v>
      </c>
      <c r="I388" s="7">
        <f>(2.1+0.2)*(2.8+0.3)*G388</f>
        <v>7.13</v>
      </c>
      <c r="J388" s="9"/>
      <c r="K388" s="9"/>
    </row>
    <row r="389" ht="225" customHeight="1" spans="1:11">
      <c r="A389" s="7">
        <v>387</v>
      </c>
      <c r="B389" s="7" t="s">
        <v>130</v>
      </c>
      <c r="C389" s="7" t="s">
        <v>410</v>
      </c>
      <c r="D389" s="7" t="s">
        <v>146</v>
      </c>
      <c r="E389" s="7"/>
      <c r="F389" s="7" t="s">
        <v>197</v>
      </c>
      <c r="G389" s="7">
        <v>1</v>
      </c>
      <c r="H389" s="7" t="s">
        <v>45</v>
      </c>
      <c r="I389" s="7">
        <f>(3.6+0.2)*(2.8+0.3)*G389</f>
        <v>11.78</v>
      </c>
      <c r="J389" s="9"/>
      <c r="K389" s="9"/>
    </row>
    <row r="390" ht="225" customHeight="1" spans="1:11">
      <c r="A390" s="7">
        <v>388</v>
      </c>
      <c r="B390" s="7" t="s">
        <v>130</v>
      </c>
      <c r="C390" s="7" t="s">
        <v>445</v>
      </c>
      <c r="D390" s="7" t="s">
        <v>146</v>
      </c>
      <c r="E390" s="7"/>
      <c r="F390" s="7" t="s">
        <v>284</v>
      </c>
      <c r="G390" s="7">
        <v>1</v>
      </c>
      <c r="H390" s="7" t="s">
        <v>45</v>
      </c>
      <c r="I390" s="7">
        <f>(4.8+0.4)*(2.8+0.3)*G390</f>
        <v>16.12</v>
      </c>
      <c r="J390" s="9"/>
      <c r="K390" s="9"/>
    </row>
    <row r="391" ht="225" customHeight="1" spans="1:11">
      <c r="A391" s="7">
        <v>389</v>
      </c>
      <c r="B391" s="7" t="s">
        <v>130</v>
      </c>
      <c r="C391" s="7" t="s">
        <v>446</v>
      </c>
      <c r="D391" s="7" t="s">
        <v>146</v>
      </c>
      <c r="E391" s="7"/>
      <c r="F391" s="7" t="s">
        <v>447</v>
      </c>
      <c r="G391" s="7">
        <v>1</v>
      </c>
      <c r="H391" s="7" t="s">
        <v>45</v>
      </c>
      <c r="I391" s="7">
        <f>(3.34+0.2)*(2.8+0.3)*G391</f>
        <v>10.974</v>
      </c>
      <c r="J391" s="9"/>
      <c r="K391" s="9"/>
    </row>
    <row r="392" ht="225" customHeight="1" spans="1:11">
      <c r="A392" s="7">
        <v>390</v>
      </c>
      <c r="B392" s="7" t="s">
        <v>130</v>
      </c>
      <c r="C392" s="7" t="s">
        <v>191</v>
      </c>
      <c r="D392" s="7" t="s">
        <v>146</v>
      </c>
      <c r="E392" s="7"/>
      <c r="F392" s="7" t="s">
        <v>448</v>
      </c>
      <c r="G392" s="7">
        <v>1</v>
      </c>
      <c r="H392" s="7" t="s">
        <v>45</v>
      </c>
      <c r="I392" s="7">
        <f>(8.32+2)*(2.8+0.3)*G392</f>
        <v>31.992</v>
      </c>
      <c r="J392" s="9"/>
      <c r="K392" s="9"/>
    </row>
    <row r="393" ht="225" customHeight="1" spans="1:11">
      <c r="A393" s="7">
        <v>391</v>
      </c>
      <c r="B393" s="7" t="s">
        <v>130</v>
      </c>
      <c r="C393" s="7" t="s">
        <v>174</v>
      </c>
      <c r="D393" s="7" t="s">
        <v>146</v>
      </c>
      <c r="E393" s="7"/>
      <c r="F393" s="7" t="s">
        <v>356</v>
      </c>
      <c r="G393" s="7">
        <v>1</v>
      </c>
      <c r="H393" s="7" t="s">
        <v>45</v>
      </c>
      <c r="I393" s="7">
        <f>(3.85+0.2)*(2.8+0.3)*G393</f>
        <v>12.555</v>
      </c>
      <c r="J393" s="9"/>
      <c r="K393" s="9"/>
    </row>
    <row r="394" ht="225" customHeight="1" spans="1:11">
      <c r="A394" s="7">
        <v>392</v>
      </c>
      <c r="B394" s="7" t="s">
        <v>130</v>
      </c>
      <c r="C394" s="7" t="s">
        <v>449</v>
      </c>
      <c r="D394" s="7" t="s">
        <v>146</v>
      </c>
      <c r="E394" s="7"/>
      <c r="F394" s="7" t="s">
        <v>450</v>
      </c>
      <c r="G394" s="7">
        <v>1</v>
      </c>
      <c r="H394" s="7" t="s">
        <v>45</v>
      </c>
      <c r="I394" s="7">
        <f>(1.65+0.2)*(2.8+0.3)*G394</f>
        <v>5.735</v>
      </c>
      <c r="J394" s="9"/>
      <c r="K394" s="9"/>
    </row>
    <row r="395" ht="200.15" customHeight="1" spans="1:11">
      <c r="A395" s="7">
        <v>393</v>
      </c>
      <c r="B395" s="7" t="s">
        <v>130</v>
      </c>
      <c r="C395" s="7" t="s">
        <v>426</v>
      </c>
      <c r="D395" s="7" t="s">
        <v>146</v>
      </c>
      <c r="E395" s="7"/>
      <c r="F395" s="7" t="s">
        <v>474</v>
      </c>
      <c r="G395" s="7">
        <v>2</v>
      </c>
      <c r="H395" s="7" t="s">
        <v>45</v>
      </c>
      <c r="I395" s="7">
        <f>(4.95+0.5)*(3.6+0.3)*G395</f>
        <v>42.51</v>
      </c>
      <c r="J395" s="9"/>
      <c r="K395" s="9"/>
    </row>
    <row r="396" ht="200.15" customHeight="1" spans="1:11">
      <c r="A396" s="7">
        <v>394</v>
      </c>
      <c r="B396" s="7" t="s">
        <v>130</v>
      </c>
      <c r="C396" s="7" t="s">
        <v>324</v>
      </c>
      <c r="D396" s="7" t="s">
        <v>146</v>
      </c>
      <c r="E396" s="7"/>
      <c r="F396" s="7" t="s">
        <v>197</v>
      </c>
      <c r="G396" s="7">
        <v>1</v>
      </c>
      <c r="H396" s="7" t="s">
        <v>45</v>
      </c>
      <c r="I396" s="7">
        <f>(3.6+0.2)*(2.8+0.3)*G396</f>
        <v>11.78</v>
      </c>
      <c r="J396" s="9"/>
      <c r="K396" s="9"/>
    </row>
    <row r="397" ht="200.15" customHeight="1" spans="1:11">
      <c r="A397" s="7">
        <v>395</v>
      </c>
      <c r="B397" s="7" t="s">
        <v>130</v>
      </c>
      <c r="C397" s="7" t="s">
        <v>421</v>
      </c>
      <c r="D397" s="7" t="s">
        <v>146</v>
      </c>
      <c r="E397" s="7"/>
      <c r="F397" s="7" t="s">
        <v>422</v>
      </c>
      <c r="G397" s="7">
        <v>1</v>
      </c>
      <c r="H397" s="7" t="s">
        <v>45</v>
      </c>
      <c r="I397" s="7">
        <f>(5.95+0.5)*(2.8+0.3)*G397</f>
        <v>19.995</v>
      </c>
      <c r="J397" s="9"/>
      <c r="K397" s="9"/>
    </row>
    <row r="398" ht="243" customHeight="1" spans="1:11">
      <c r="A398" s="7">
        <v>396</v>
      </c>
      <c r="B398" s="7" t="s">
        <v>130</v>
      </c>
      <c r="C398" s="7" t="s">
        <v>317</v>
      </c>
      <c r="D398" s="7" t="s">
        <v>146</v>
      </c>
      <c r="E398" s="7"/>
      <c r="F398" s="7" t="s">
        <v>453</v>
      </c>
      <c r="G398" s="7">
        <v>6</v>
      </c>
      <c r="H398" s="7" t="s">
        <v>45</v>
      </c>
      <c r="I398" s="7">
        <f>(2.65+0.2+2.55+0.2+2.4+0.2+2.75+0.2+2.825+0.2+2.425+0.2)*(2.8+0.3)*G398</f>
        <v>312.48</v>
      </c>
      <c r="J398" s="9"/>
      <c r="K398" s="9"/>
    </row>
    <row r="399" ht="200.15" customHeight="1" spans="1:11">
      <c r="A399" s="7">
        <v>397</v>
      </c>
      <c r="B399" s="7" t="s">
        <v>130</v>
      </c>
      <c r="C399" s="7" t="s">
        <v>426</v>
      </c>
      <c r="D399" s="7" t="s">
        <v>146</v>
      </c>
      <c r="E399" s="7"/>
      <c r="F399" s="7" t="s">
        <v>473</v>
      </c>
      <c r="G399" s="7">
        <v>1</v>
      </c>
      <c r="H399" s="7" t="s">
        <v>45</v>
      </c>
      <c r="I399" s="7">
        <f>(2.875+0.2)*(2.8+0.3)*G399</f>
        <v>9.5325</v>
      </c>
      <c r="J399" s="9"/>
      <c r="K399" s="9"/>
    </row>
    <row r="400" ht="200.15" customHeight="1" spans="1:11">
      <c r="A400" s="7">
        <v>398</v>
      </c>
      <c r="B400" s="7" t="s">
        <v>130</v>
      </c>
      <c r="C400" s="7" t="s">
        <v>424</v>
      </c>
      <c r="D400" s="7" t="s">
        <v>146</v>
      </c>
      <c r="E400" s="7"/>
      <c r="F400" s="7" t="s">
        <v>425</v>
      </c>
      <c r="G400" s="7">
        <v>1</v>
      </c>
      <c r="H400" s="7" t="s">
        <v>45</v>
      </c>
      <c r="I400" s="7">
        <f>(19.85+2)*(2.8+0.3)*G400</f>
        <v>67.735</v>
      </c>
      <c r="J400" s="9"/>
      <c r="K400" s="9"/>
    </row>
    <row r="401" ht="200.15" customHeight="1" spans="1:11">
      <c r="A401" s="7">
        <v>399</v>
      </c>
      <c r="B401" s="7" t="s">
        <v>130</v>
      </c>
      <c r="C401" s="7" t="s">
        <v>426</v>
      </c>
      <c r="D401" s="7" t="s">
        <v>146</v>
      </c>
      <c r="E401" s="7"/>
      <c r="F401" s="7" t="s">
        <v>427</v>
      </c>
      <c r="G401" s="7">
        <v>1</v>
      </c>
      <c r="H401" s="7" t="s">
        <v>45</v>
      </c>
      <c r="I401" s="7">
        <f>(4.9+0.4+3.6+0.2)*(2.8+0.3)*G401</f>
        <v>28.21</v>
      </c>
      <c r="J401" s="9"/>
      <c r="K401" s="9"/>
    </row>
    <row r="402" ht="200.15" customHeight="1" spans="1:11">
      <c r="A402" s="7">
        <v>400</v>
      </c>
      <c r="B402" s="7" t="s">
        <v>130</v>
      </c>
      <c r="C402" s="7" t="s">
        <v>320</v>
      </c>
      <c r="D402" s="7" t="s">
        <v>146</v>
      </c>
      <c r="E402" s="7"/>
      <c r="F402" s="7" t="s">
        <v>428</v>
      </c>
      <c r="G402" s="7">
        <v>4</v>
      </c>
      <c r="H402" s="7" t="s">
        <v>45</v>
      </c>
      <c r="I402" s="7">
        <f>(2+0.2+2.1+0.2+2.4+0.2)*(2.8+0.3)*G402</f>
        <v>88.04</v>
      </c>
      <c r="J402" s="9"/>
      <c r="K402" s="9"/>
    </row>
    <row r="403" ht="200.15" customHeight="1" spans="1:11">
      <c r="A403" s="7">
        <v>401</v>
      </c>
      <c r="B403" s="7" t="s">
        <v>130</v>
      </c>
      <c r="C403" s="7" t="s">
        <v>280</v>
      </c>
      <c r="D403" s="7" t="s">
        <v>146</v>
      </c>
      <c r="E403" s="7"/>
      <c r="F403" s="7" t="s">
        <v>429</v>
      </c>
      <c r="G403" s="7">
        <v>2</v>
      </c>
      <c r="H403" s="7" t="s">
        <v>45</v>
      </c>
      <c r="I403" s="7">
        <f>(3.6+0.2+3.2+0.2)*(2.8+0.3)*G403</f>
        <v>44.64</v>
      </c>
      <c r="J403" s="9"/>
      <c r="K403" s="9"/>
    </row>
    <row r="404" ht="200.15" customHeight="1" spans="1:11">
      <c r="A404" s="7">
        <v>402</v>
      </c>
      <c r="B404" s="7" t="s">
        <v>130</v>
      </c>
      <c r="C404" s="7" t="s">
        <v>412</v>
      </c>
      <c r="D404" s="7" t="s">
        <v>146</v>
      </c>
      <c r="E404" s="7"/>
      <c r="F404" s="7" t="s">
        <v>430</v>
      </c>
      <c r="G404" s="7">
        <v>1</v>
      </c>
      <c r="H404" s="7" t="s">
        <v>45</v>
      </c>
      <c r="I404" s="7">
        <f>(3.05+0.2)*(2.8+0.3)*G404</f>
        <v>10.075</v>
      </c>
      <c r="J404" s="9"/>
      <c r="K404" s="9"/>
    </row>
    <row r="405" ht="200.15" customHeight="1" spans="1:11">
      <c r="A405" s="7">
        <v>403</v>
      </c>
      <c r="B405" s="7" t="s">
        <v>130</v>
      </c>
      <c r="C405" s="7" t="s">
        <v>431</v>
      </c>
      <c r="D405" s="7" t="s">
        <v>146</v>
      </c>
      <c r="E405" s="7"/>
      <c r="F405" s="7" t="s">
        <v>432</v>
      </c>
      <c r="G405" s="7">
        <v>1</v>
      </c>
      <c r="H405" s="7" t="s">
        <v>45</v>
      </c>
      <c r="I405" s="7">
        <f>(6.45+0.6)*(2.8+0.3)*G405</f>
        <v>21.855</v>
      </c>
      <c r="J405" s="9"/>
      <c r="K405" s="9"/>
    </row>
    <row r="406" ht="200.15" customHeight="1" spans="1:11">
      <c r="A406" s="7">
        <v>404</v>
      </c>
      <c r="B406" s="7" t="s">
        <v>130</v>
      </c>
      <c r="C406" s="7" t="s">
        <v>433</v>
      </c>
      <c r="D406" s="7" t="s">
        <v>146</v>
      </c>
      <c r="E406" s="7"/>
      <c r="F406" s="7" t="s">
        <v>247</v>
      </c>
      <c r="G406" s="7">
        <v>1</v>
      </c>
      <c r="H406" s="7" t="s">
        <v>45</v>
      </c>
      <c r="I406" s="7">
        <f>(4.5+0.4)*(2.8+0.3)*G406</f>
        <v>15.19</v>
      </c>
      <c r="J406" s="9"/>
      <c r="K406" s="9"/>
    </row>
    <row r="407" ht="200.15" customHeight="1" spans="1:11">
      <c r="A407" s="7">
        <v>405</v>
      </c>
      <c r="B407" s="7" t="s">
        <v>130</v>
      </c>
      <c r="C407" s="7" t="s">
        <v>426</v>
      </c>
      <c r="D407" s="7" t="s">
        <v>146</v>
      </c>
      <c r="E407" s="7"/>
      <c r="F407" s="7" t="s">
        <v>194</v>
      </c>
      <c r="G407" s="7">
        <v>1</v>
      </c>
      <c r="H407" s="7" t="s">
        <v>45</v>
      </c>
      <c r="I407" s="7">
        <f>(2.9+0.2)*(2.8+0.3)*G407</f>
        <v>9.61</v>
      </c>
      <c r="J407" s="9"/>
      <c r="K407" s="9"/>
    </row>
    <row r="408" ht="200.15" customHeight="1" spans="1:11">
      <c r="A408" s="7">
        <v>406</v>
      </c>
      <c r="B408" s="7" t="s">
        <v>130</v>
      </c>
      <c r="C408" s="7" t="s">
        <v>434</v>
      </c>
      <c r="D408" s="7" t="s">
        <v>146</v>
      </c>
      <c r="E408" s="7"/>
      <c r="F408" s="7" t="s">
        <v>168</v>
      </c>
      <c r="G408" s="7">
        <v>1</v>
      </c>
      <c r="H408" s="7" t="s">
        <v>45</v>
      </c>
      <c r="I408" s="7">
        <f>(7.6+2)*(2.8+0.3)*G408</f>
        <v>29.76</v>
      </c>
      <c r="J408" s="9"/>
      <c r="K408" s="9"/>
    </row>
    <row r="409" ht="200.15" customHeight="1" spans="1:11">
      <c r="A409" s="7">
        <v>407</v>
      </c>
      <c r="B409" s="7" t="s">
        <v>130</v>
      </c>
      <c r="C409" s="7" t="s">
        <v>435</v>
      </c>
      <c r="D409" s="7" t="s">
        <v>146</v>
      </c>
      <c r="E409" s="7"/>
      <c r="F409" s="7" t="s">
        <v>436</v>
      </c>
      <c r="G409" s="7">
        <v>1</v>
      </c>
      <c r="H409" s="7" t="s">
        <v>45</v>
      </c>
      <c r="I409" s="7">
        <f>(7.45+1)*(21.8+0.3)*G409</f>
        <v>186.745</v>
      </c>
      <c r="J409" s="9"/>
      <c r="K409" s="9"/>
    </row>
    <row r="410" ht="200.15" customHeight="1" spans="1:11">
      <c r="A410" s="7">
        <v>408</v>
      </c>
      <c r="B410" s="7" t="s">
        <v>130</v>
      </c>
      <c r="C410" s="7" t="s">
        <v>437</v>
      </c>
      <c r="D410" s="7" t="s">
        <v>146</v>
      </c>
      <c r="E410" s="7"/>
      <c r="F410" s="7" t="s">
        <v>438</v>
      </c>
      <c r="G410" s="7">
        <v>1</v>
      </c>
      <c r="H410" s="7" t="s">
        <v>45</v>
      </c>
      <c r="I410" s="7">
        <f>(1.45+0.2)*(2.8+0.3)*G410</f>
        <v>5.115</v>
      </c>
      <c r="J410" s="9"/>
      <c r="K410" s="9"/>
    </row>
    <row r="411" ht="200.15" customHeight="1" spans="1:11">
      <c r="A411" s="7">
        <v>409</v>
      </c>
      <c r="B411" s="7" t="s">
        <v>130</v>
      </c>
      <c r="C411" s="7" t="s">
        <v>439</v>
      </c>
      <c r="D411" s="7" t="s">
        <v>146</v>
      </c>
      <c r="E411" s="7"/>
      <c r="F411" s="7" t="s">
        <v>422</v>
      </c>
      <c r="G411" s="7">
        <v>1</v>
      </c>
      <c r="H411" s="7" t="s">
        <v>45</v>
      </c>
      <c r="I411" s="7">
        <f>(5.95+0.5)*(2.8+0.3)*G411</f>
        <v>19.995</v>
      </c>
      <c r="J411" s="9"/>
      <c r="K411" s="9"/>
    </row>
    <row r="412" ht="200.15" customHeight="1" spans="1:11">
      <c r="A412" s="7">
        <v>410</v>
      </c>
      <c r="B412" s="7" t="s">
        <v>130</v>
      </c>
      <c r="C412" s="7" t="s">
        <v>440</v>
      </c>
      <c r="D412" s="7" t="s">
        <v>146</v>
      </c>
      <c r="E412" s="7"/>
      <c r="F412" s="7" t="s">
        <v>441</v>
      </c>
      <c r="G412" s="7">
        <v>1</v>
      </c>
      <c r="H412" s="7" t="s">
        <v>45</v>
      </c>
      <c r="I412" s="7">
        <f>(2.55+0.2)*(2.8+0.3)*G412</f>
        <v>8.525</v>
      </c>
      <c r="J412" s="9"/>
      <c r="K412" s="9"/>
    </row>
    <row r="413" ht="200.15" customHeight="1" spans="1:11">
      <c r="A413" s="7">
        <v>411</v>
      </c>
      <c r="B413" s="7" t="s">
        <v>130</v>
      </c>
      <c r="C413" s="7" t="s">
        <v>442</v>
      </c>
      <c r="D413" s="7" t="s">
        <v>146</v>
      </c>
      <c r="E413" s="7"/>
      <c r="F413" s="7" t="s">
        <v>386</v>
      </c>
      <c r="G413" s="7">
        <v>1</v>
      </c>
      <c r="H413" s="7" t="s">
        <v>45</v>
      </c>
      <c r="I413" s="7">
        <f>(4.95+0.4)*(2.8+0.3)*G413</f>
        <v>16.585</v>
      </c>
      <c r="J413" s="9"/>
      <c r="K413" s="9"/>
    </row>
    <row r="414" ht="200.15" customHeight="1" spans="1:11">
      <c r="A414" s="7">
        <v>412</v>
      </c>
      <c r="B414" s="7" t="s">
        <v>130</v>
      </c>
      <c r="C414" s="7" t="s">
        <v>443</v>
      </c>
      <c r="D414" s="7" t="s">
        <v>146</v>
      </c>
      <c r="E414" s="7"/>
      <c r="F414" s="7" t="s">
        <v>168</v>
      </c>
      <c r="G414" s="7">
        <v>1</v>
      </c>
      <c r="H414" s="7" t="s">
        <v>45</v>
      </c>
      <c r="I414" s="7">
        <f>(7.6+2)*(2.8+0.3)*G414</f>
        <v>29.76</v>
      </c>
      <c r="J414" s="9"/>
      <c r="K414" s="9"/>
    </row>
    <row r="415" ht="200.15" customHeight="1" spans="1:11">
      <c r="A415" s="7">
        <v>413</v>
      </c>
      <c r="B415" s="7" t="s">
        <v>130</v>
      </c>
      <c r="C415" s="7" t="s">
        <v>366</v>
      </c>
      <c r="D415" s="7" t="s">
        <v>146</v>
      </c>
      <c r="E415" s="7"/>
      <c r="F415" s="7" t="s">
        <v>344</v>
      </c>
      <c r="G415" s="7">
        <v>1</v>
      </c>
      <c r="H415" s="7" t="s">
        <v>45</v>
      </c>
      <c r="I415" s="7">
        <f>(3.75+0.2)*(2.8+0.3)*G415</f>
        <v>12.245</v>
      </c>
      <c r="J415" s="9"/>
      <c r="K415" s="9"/>
    </row>
    <row r="416" ht="200.15" customHeight="1" spans="1:11">
      <c r="A416" s="7">
        <v>414</v>
      </c>
      <c r="B416" s="7" t="s">
        <v>130</v>
      </c>
      <c r="C416" s="7" t="s">
        <v>174</v>
      </c>
      <c r="D416" s="7" t="s">
        <v>146</v>
      </c>
      <c r="E416" s="7"/>
      <c r="F416" s="7" t="s">
        <v>301</v>
      </c>
      <c r="G416" s="7">
        <v>1</v>
      </c>
      <c r="H416" s="7" t="s">
        <v>45</v>
      </c>
      <c r="I416" s="7">
        <f>(3.7+0.2)*(2.8+0.3)*G416</f>
        <v>12.09</v>
      </c>
      <c r="J416" s="9"/>
      <c r="K416" s="9"/>
    </row>
    <row r="417" ht="200.15" customHeight="1" spans="1:11">
      <c r="A417" s="7">
        <v>415</v>
      </c>
      <c r="B417" s="7" t="s">
        <v>130</v>
      </c>
      <c r="C417" s="7" t="s">
        <v>412</v>
      </c>
      <c r="D417" s="7" t="s">
        <v>146</v>
      </c>
      <c r="E417" s="7"/>
      <c r="F417" s="7" t="s">
        <v>114</v>
      </c>
      <c r="G417" s="7">
        <v>1</v>
      </c>
      <c r="H417" s="7" t="s">
        <v>45</v>
      </c>
      <c r="I417" s="7">
        <f>(3+0.2)*(2.8+0.3)*G417</f>
        <v>9.92</v>
      </c>
      <c r="J417" s="9"/>
      <c r="K417" s="9"/>
    </row>
    <row r="418" ht="200.15" customHeight="1" spans="1:11">
      <c r="A418" s="7">
        <v>416</v>
      </c>
      <c r="B418" s="7" t="s">
        <v>130</v>
      </c>
      <c r="C418" s="7" t="s">
        <v>444</v>
      </c>
      <c r="D418" s="7" t="s">
        <v>146</v>
      </c>
      <c r="E418" s="7"/>
      <c r="F418" s="7" t="s">
        <v>294</v>
      </c>
      <c r="G418" s="7">
        <v>1</v>
      </c>
      <c r="H418" s="7" t="s">
        <v>45</v>
      </c>
      <c r="I418" s="7">
        <f>(2.1+0.2)*(2.8+0.3)*G418</f>
        <v>7.13</v>
      </c>
      <c r="J418" s="9"/>
      <c r="K418" s="9"/>
    </row>
    <row r="419" ht="200.15" customHeight="1" spans="1:11">
      <c r="A419" s="7">
        <v>417</v>
      </c>
      <c r="B419" s="7" t="s">
        <v>130</v>
      </c>
      <c r="C419" s="7" t="s">
        <v>410</v>
      </c>
      <c r="D419" s="7" t="s">
        <v>146</v>
      </c>
      <c r="E419" s="7"/>
      <c r="F419" s="7" t="s">
        <v>197</v>
      </c>
      <c r="G419" s="7">
        <v>1</v>
      </c>
      <c r="H419" s="7" t="s">
        <v>45</v>
      </c>
      <c r="I419" s="7">
        <f>(3.6+0.2)*(2.8+0.3)*G419</f>
        <v>11.78</v>
      </c>
      <c r="J419" s="9"/>
      <c r="K419" s="9"/>
    </row>
    <row r="420" ht="200.15" customHeight="1" spans="1:11">
      <c r="A420" s="7">
        <v>418</v>
      </c>
      <c r="B420" s="7" t="s">
        <v>130</v>
      </c>
      <c r="C420" s="7" t="s">
        <v>445</v>
      </c>
      <c r="D420" s="7" t="s">
        <v>146</v>
      </c>
      <c r="E420" s="7"/>
      <c r="F420" s="7" t="s">
        <v>284</v>
      </c>
      <c r="G420" s="7">
        <v>1</v>
      </c>
      <c r="H420" s="7" t="s">
        <v>45</v>
      </c>
      <c r="I420" s="7">
        <f>(4.8+0.4)*(2.8+0.3)*G420</f>
        <v>16.12</v>
      </c>
      <c r="J420" s="9"/>
      <c r="K420" s="9"/>
    </row>
    <row r="421" ht="200.15" customHeight="1" spans="1:11">
      <c r="A421" s="7">
        <v>419</v>
      </c>
      <c r="B421" s="7" t="s">
        <v>130</v>
      </c>
      <c r="C421" s="7" t="s">
        <v>446</v>
      </c>
      <c r="D421" s="7" t="s">
        <v>146</v>
      </c>
      <c r="E421" s="7"/>
      <c r="F421" s="7" t="s">
        <v>447</v>
      </c>
      <c r="G421" s="7">
        <v>1</v>
      </c>
      <c r="H421" s="7" t="s">
        <v>45</v>
      </c>
      <c r="I421" s="7">
        <f>(3.34+0.2)*(2.8+0.3)*G421</f>
        <v>10.974</v>
      </c>
      <c r="J421" s="9"/>
      <c r="K421" s="9"/>
    </row>
    <row r="422" ht="200.15" customHeight="1" spans="1:11">
      <c r="A422" s="7">
        <v>420</v>
      </c>
      <c r="B422" s="7" t="s">
        <v>130</v>
      </c>
      <c r="C422" s="7" t="s">
        <v>191</v>
      </c>
      <c r="D422" s="7" t="s">
        <v>146</v>
      </c>
      <c r="E422" s="7"/>
      <c r="F422" s="7" t="s">
        <v>448</v>
      </c>
      <c r="G422" s="7">
        <v>1</v>
      </c>
      <c r="H422" s="7" t="s">
        <v>45</v>
      </c>
      <c r="I422" s="7">
        <f>(8.32+2)*(2.8+0.3)*G422</f>
        <v>31.992</v>
      </c>
      <c r="J422" s="9"/>
      <c r="K422" s="9"/>
    </row>
    <row r="423" ht="200.15" customHeight="1" spans="1:11">
      <c r="A423" s="7">
        <v>421</v>
      </c>
      <c r="B423" s="7" t="s">
        <v>130</v>
      </c>
      <c r="C423" s="7" t="s">
        <v>174</v>
      </c>
      <c r="D423" s="7" t="s">
        <v>146</v>
      </c>
      <c r="E423" s="7"/>
      <c r="F423" s="7" t="s">
        <v>356</v>
      </c>
      <c r="G423" s="7">
        <v>1</v>
      </c>
      <c r="H423" s="7" t="s">
        <v>45</v>
      </c>
      <c r="I423" s="7">
        <f>(3.85+0.2)*(2.8+0.3)*G423</f>
        <v>12.555</v>
      </c>
      <c r="J423" s="9"/>
      <c r="K423" s="9"/>
    </row>
    <row r="424" ht="200.15" customHeight="1" spans="1:11">
      <c r="A424" s="7">
        <v>422</v>
      </c>
      <c r="B424" s="7" t="s">
        <v>130</v>
      </c>
      <c r="C424" s="7" t="s">
        <v>449</v>
      </c>
      <c r="D424" s="7" t="s">
        <v>146</v>
      </c>
      <c r="E424" s="7"/>
      <c r="F424" s="7" t="s">
        <v>450</v>
      </c>
      <c r="G424" s="7">
        <v>1</v>
      </c>
      <c r="H424" s="7" t="s">
        <v>45</v>
      </c>
      <c r="I424" s="7">
        <f>(1.65+0.2)*(2.8+0.3)*G424</f>
        <v>5.735</v>
      </c>
      <c r="J424" s="9"/>
      <c r="K424" s="9"/>
    </row>
    <row r="425" ht="310" customHeight="1" spans="1:11">
      <c r="A425" s="7">
        <v>423</v>
      </c>
      <c r="B425" s="7" t="s">
        <v>475</v>
      </c>
      <c r="C425" s="7" t="s">
        <v>476</v>
      </c>
      <c r="D425" s="7" t="s">
        <v>146</v>
      </c>
      <c r="E425" s="7"/>
      <c r="F425" s="7" t="s">
        <v>477</v>
      </c>
      <c r="G425" s="7">
        <v>15</v>
      </c>
      <c r="H425" s="7" t="s">
        <v>45</v>
      </c>
      <c r="I425" s="7">
        <f>(7.6+2+9+2+5.6+1+2.9+0.2)*(4.2+0.5)*G425</f>
        <v>2136.15</v>
      </c>
      <c r="J425" s="9"/>
      <c r="K425" s="9"/>
    </row>
    <row r="426" ht="200.15" customHeight="1" spans="1:11">
      <c r="A426" s="7">
        <v>424</v>
      </c>
      <c r="B426" s="7" t="s">
        <v>475</v>
      </c>
      <c r="C426" s="7" t="s">
        <v>478</v>
      </c>
      <c r="D426" s="7" t="s">
        <v>146</v>
      </c>
      <c r="E426" s="7"/>
      <c r="F426" s="7" t="s">
        <v>479</v>
      </c>
      <c r="G426" s="7">
        <v>1</v>
      </c>
      <c r="H426" s="7" t="s">
        <v>45</v>
      </c>
      <c r="I426" s="7">
        <f>(7.6+2)*(4.2+0.5)*G426</f>
        <v>45.12</v>
      </c>
      <c r="J426" s="9"/>
      <c r="K426" s="9"/>
    </row>
    <row r="427" ht="200.15" customHeight="1" spans="1:11">
      <c r="A427" s="7">
        <v>425</v>
      </c>
      <c r="B427" s="7" t="s">
        <v>475</v>
      </c>
      <c r="C427" s="7"/>
      <c r="D427" s="7" t="s">
        <v>146</v>
      </c>
      <c r="E427" s="7"/>
      <c r="F427" s="7" t="s">
        <v>480</v>
      </c>
      <c r="G427" s="7">
        <v>1</v>
      </c>
      <c r="H427" s="7" t="s">
        <v>45</v>
      </c>
      <c r="I427" s="7">
        <f>(5.8+0.5)*(4.2+0.5)*G427</f>
        <v>29.61</v>
      </c>
      <c r="J427" s="9"/>
      <c r="K427" s="9"/>
    </row>
    <row r="428" ht="200.15" customHeight="1" spans="1:11">
      <c r="A428" s="7">
        <v>426</v>
      </c>
      <c r="B428" s="7" t="s">
        <v>475</v>
      </c>
      <c r="C428" s="7" t="s">
        <v>481</v>
      </c>
      <c r="D428" s="7" t="s">
        <v>146</v>
      </c>
      <c r="E428" s="7"/>
      <c r="F428" s="7" t="s">
        <v>482</v>
      </c>
      <c r="G428" s="7">
        <v>1</v>
      </c>
      <c r="H428" s="7" t="s">
        <v>45</v>
      </c>
      <c r="I428" s="7">
        <f>(3.3+0.2)*(4.2+0.5)*G428</f>
        <v>16.45</v>
      </c>
      <c r="J428" s="9"/>
      <c r="K428" s="9"/>
    </row>
    <row r="429" ht="120" customHeight="1" spans="1:11">
      <c r="A429" s="7" t="s">
        <v>33</v>
      </c>
      <c r="B429" s="7"/>
      <c r="C429" s="7"/>
      <c r="D429" s="7"/>
      <c r="E429" s="7"/>
      <c r="F429" s="7"/>
      <c r="G429" s="7">
        <f>SUM(G3:G428)</f>
        <v>567</v>
      </c>
      <c r="H429" s="7"/>
      <c r="I429" s="10">
        <f>SUM(I3:I428)</f>
        <v>12941.0008</v>
      </c>
      <c r="J429" s="8"/>
      <c r="K429" s="9"/>
    </row>
  </sheetData>
  <mergeCells count="4">
    <mergeCell ref="A1:K1"/>
    <mergeCell ref="A429:F429"/>
    <mergeCell ref="C196:C197"/>
    <mergeCell ref="C426:C427"/>
  </mergeCells>
  <printOptions horizontalCentered="1"/>
  <pageMargins left="0.393055555555556" right="0.393055555555556" top="0.393055555555556" bottom="0.393055555555556" header="0.393055555555556" footer="0.393055555555556"/>
  <pageSetup paperSize="9" scale="24" fitToHeight="0" orientation="portrait"/>
  <headerFooter/>
  <rowBreaks count="2" manualBreakCount="2">
    <brk id="162" max="10" man="1"/>
    <brk id="178" max="10" man="1"/>
  </rowBreaks>
  <ignoredErrors>
    <ignoredError sqref="I4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4"/>
  <sheetViews>
    <sheetView view="pageBreakPreview" zoomScale="25" zoomScaleNormal="25" workbookViewId="0">
      <selection activeCell="AA5" sqref="AA5"/>
    </sheetView>
  </sheetViews>
  <sheetFormatPr defaultColWidth="9" defaultRowHeight="39.6"/>
  <cols>
    <col min="1" max="2" width="25.8148148148148" style="1" customWidth="1"/>
    <col min="3" max="3" width="34.6296296296296" style="2" customWidth="1"/>
    <col min="4" max="4" width="48" style="1" customWidth="1"/>
    <col min="5" max="5" width="54.3611111111111" style="1" customWidth="1"/>
    <col min="6" max="6" width="42.9074074074074" style="1" customWidth="1"/>
    <col min="7" max="7" width="28.4537037037037" style="1" customWidth="1"/>
    <col min="8" max="8" width="27.0925925925926" style="1" customWidth="1"/>
    <col min="9" max="9" width="35.5462962962963" style="3" customWidth="1"/>
    <col min="10" max="11" width="40.8148148148148" style="1" customWidth="1"/>
    <col min="12" max="12" width="15.6296296296296" style="1"/>
    <col min="13" max="16384" width="9" style="1"/>
  </cols>
  <sheetData>
    <row r="1" ht="80" customHeight="1" spans="1:11">
      <c r="A1" s="4" t="s">
        <v>34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ht="80" customHeight="1" spans="1:11">
      <c r="A2" s="5" t="s">
        <v>2</v>
      </c>
      <c r="B2" s="6" t="s">
        <v>35</v>
      </c>
      <c r="C2" s="6" t="s">
        <v>36</v>
      </c>
      <c r="D2" s="6" t="s">
        <v>3</v>
      </c>
      <c r="E2" s="6" t="s">
        <v>4</v>
      </c>
      <c r="F2" s="6" t="s">
        <v>37</v>
      </c>
      <c r="G2" s="5" t="s">
        <v>6</v>
      </c>
      <c r="H2" s="5" t="s">
        <v>7</v>
      </c>
      <c r="I2" s="6" t="s">
        <v>142</v>
      </c>
      <c r="J2" s="6" t="s">
        <v>143</v>
      </c>
      <c r="K2" s="6" t="s">
        <v>144</v>
      </c>
    </row>
    <row r="3" ht="200.15" customHeight="1" spans="1:11">
      <c r="A3" s="7">
        <v>1</v>
      </c>
      <c r="B3" s="7" t="s">
        <v>336</v>
      </c>
      <c r="C3" s="8" t="s">
        <v>340</v>
      </c>
      <c r="D3" s="7" t="s">
        <v>483</v>
      </c>
      <c r="E3" s="7"/>
      <c r="F3" s="7" t="s">
        <v>114</v>
      </c>
      <c r="G3" s="7">
        <v>1</v>
      </c>
      <c r="H3" s="7" t="s">
        <v>45</v>
      </c>
      <c r="I3" s="7">
        <f>(3+0.2)*(2.8+0.3)*G3</f>
        <v>9.92</v>
      </c>
      <c r="J3" s="9"/>
      <c r="K3" s="9"/>
    </row>
    <row r="4" ht="200.15" customHeight="1" spans="1:11">
      <c r="A4" s="7">
        <v>2</v>
      </c>
      <c r="B4" s="7" t="s">
        <v>336</v>
      </c>
      <c r="C4" s="7" t="s">
        <v>342</v>
      </c>
      <c r="D4" s="7" t="s">
        <v>483</v>
      </c>
      <c r="E4" s="7"/>
      <c r="F4" s="7" t="s">
        <v>185</v>
      </c>
      <c r="G4" s="7">
        <v>1</v>
      </c>
      <c r="H4" s="7" t="s">
        <v>45</v>
      </c>
      <c r="I4" s="7">
        <f>(1.2+0.2)*(2.8+0.3)*G4</f>
        <v>4.34</v>
      </c>
      <c r="J4" s="9"/>
      <c r="K4" s="9"/>
    </row>
    <row r="5" ht="200.15" customHeight="1" spans="1:11">
      <c r="A5" s="7">
        <v>3</v>
      </c>
      <c r="B5" s="7" t="s">
        <v>336</v>
      </c>
      <c r="C5" s="7" t="s">
        <v>343</v>
      </c>
      <c r="D5" s="7" t="s">
        <v>483</v>
      </c>
      <c r="E5" s="7"/>
      <c r="F5" s="7" t="s">
        <v>401</v>
      </c>
      <c r="G5" s="7">
        <v>1</v>
      </c>
      <c r="H5" s="7" t="s">
        <v>45</v>
      </c>
      <c r="I5" s="7">
        <f>(2+0.2)*(2.8+0.3)*G5</f>
        <v>6.82</v>
      </c>
      <c r="J5" s="9"/>
      <c r="K5" s="9"/>
    </row>
    <row r="6" ht="200.15" customHeight="1" spans="1:11">
      <c r="A6" s="7">
        <v>4</v>
      </c>
      <c r="B6" s="7" t="s">
        <v>336</v>
      </c>
      <c r="C6" s="7" t="s">
        <v>345</v>
      </c>
      <c r="D6" s="7" t="s">
        <v>483</v>
      </c>
      <c r="E6" s="7"/>
      <c r="F6" s="7" t="s">
        <v>401</v>
      </c>
      <c r="G6" s="7">
        <v>1</v>
      </c>
      <c r="H6" s="7" t="s">
        <v>45</v>
      </c>
      <c r="I6" s="7">
        <f>(2+0.2)*(2.8+0.3)*G6</f>
        <v>6.82</v>
      </c>
      <c r="J6" s="9"/>
      <c r="K6" s="9"/>
    </row>
    <row r="7" ht="200.15" customHeight="1" spans="1:11">
      <c r="A7" s="7">
        <v>5</v>
      </c>
      <c r="B7" s="7" t="s">
        <v>336</v>
      </c>
      <c r="C7" s="7" t="s">
        <v>245</v>
      </c>
      <c r="D7" s="7" t="s">
        <v>483</v>
      </c>
      <c r="E7" s="7"/>
      <c r="F7" s="7" t="s">
        <v>401</v>
      </c>
      <c r="G7" s="7">
        <v>1</v>
      </c>
      <c r="H7" s="7" t="s">
        <v>45</v>
      </c>
      <c r="I7" s="7">
        <f>(2+0.2)*(2.8+0.3)*G7</f>
        <v>6.82</v>
      </c>
      <c r="J7" s="9"/>
      <c r="K7" s="9"/>
    </row>
    <row r="8" ht="200.15" customHeight="1" spans="1:11">
      <c r="A8" s="7">
        <v>6</v>
      </c>
      <c r="B8" s="7" t="s">
        <v>336</v>
      </c>
      <c r="C8" s="7" t="s">
        <v>262</v>
      </c>
      <c r="D8" s="7" t="s">
        <v>483</v>
      </c>
      <c r="E8" s="7"/>
      <c r="F8" s="7" t="s">
        <v>185</v>
      </c>
      <c r="G8" s="7">
        <v>1</v>
      </c>
      <c r="H8" s="7" t="s">
        <v>45</v>
      </c>
      <c r="I8" s="7">
        <f>(1.2+0.2)*(2.8+0.3)*G8</f>
        <v>4.34</v>
      </c>
      <c r="J8" s="9"/>
      <c r="K8" s="9"/>
    </row>
    <row r="9" ht="200.15" customHeight="1" spans="1:11">
      <c r="A9" s="7">
        <v>7</v>
      </c>
      <c r="B9" s="7" t="s">
        <v>336</v>
      </c>
      <c r="C9" s="7" t="s">
        <v>347</v>
      </c>
      <c r="D9" s="7" t="s">
        <v>483</v>
      </c>
      <c r="E9" s="7"/>
      <c r="F9" s="7" t="s">
        <v>111</v>
      </c>
      <c r="G9" s="7">
        <v>1</v>
      </c>
      <c r="H9" s="7" t="s">
        <v>45</v>
      </c>
      <c r="I9" s="7">
        <f>(2.4+0.2)*(2.8+0.3)*G9</f>
        <v>8.06</v>
      </c>
      <c r="J9" s="9"/>
      <c r="K9" s="9"/>
    </row>
    <row r="10" ht="200.15" customHeight="1" spans="1:11">
      <c r="A10" s="7">
        <v>8</v>
      </c>
      <c r="B10" s="7" t="s">
        <v>336</v>
      </c>
      <c r="C10" s="8" t="s">
        <v>350</v>
      </c>
      <c r="D10" s="7" t="s">
        <v>483</v>
      </c>
      <c r="E10" s="7"/>
      <c r="F10" s="7" t="s">
        <v>185</v>
      </c>
      <c r="G10" s="7">
        <v>1</v>
      </c>
      <c r="H10" s="7" t="s">
        <v>45</v>
      </c>
      <c r="I10" s="7">
        <f>(1.2+0.2)*(2.8+0.3)*G10</f>
        <v>4.34</v>
      </c>
      <c r="J10" s="9"/>
      <c r="K10" s="9"/>
    </row>
    <row r="11" ht="200.15" customHeight="1" spans="1:11">
      <c r="A11" s="7">
        <v>9</v>
      </c>
      <c r="B11" s="7" t="s">
        <v>336</v>
      </c>
      <c r="C11" s="8" t="s">
        <v>353</v>
      </c>
      <c r="D11" s="7" t="s">
        <v>483</v>
      </c>
      <c r="E11" s="7"/>
      <c r="F11" s="7" t="s">
        <v>185</v>
      </c>
      <c r="G11" s="7">
        <v>1</v>
      </c>
      <c r="H11" s="7" t="s">
        <v>45</v>
      </c>
      <c r="I11" s="7">
        <f>(1.2+0.2)*(2.8+0.3)*G11</f>
        <v>4.34</v>
      </c>
      <c r="J11" s="9"/>
      <c r="K11" s="9"/>
    </row>
    <row r="12" ht="200.15" customHeight="1" spans="1:11">
      <c r="A12" s="7">
        <v>10</v>
      </c>
      <c r="B12" s="7" t="s">
        <v>420</v>
      </c>
      <c r="C12" s="8" t="s">
        <v>324</v>
      </c>
      <c r="D12" s="7" t="s">
        <v>483</v>
      </c>
      <c r="E12" s="7"/>
      <c r="F12" s="7" t="s">
        <v>484</v>
      </c>
      <c r="G12" s="7">
        <v>1</v>
      </c>
      <c r="H12" s="7" t="s">
        <v>45</v>
      </c>
      <c r="I12" s="7">
        <f>(1.5+0.2)*(2.8+0.3)*G12</f>
        <v>5.27</v>
      </c>
      <c r="J12" s="9"/>
      <c r="K12" s="9"/>
    </row>
    <row r="13" ht="200.15" customHeight="1" spans="1:11">
      <c r="A13" s="7">
        <v>11</v>
      </c>
      <c r="B13" s="7" t="s">
        <v>420</v>
      </c>
      <c r="C13" s="8" t="s">
        <v>421</v>
      </c>
      <c r="D13" s="7" t="s">
        <v>483</v>
      </c>
      <c r="E13" s="7"/>
      <c r="F13" s="7" t="s">
        <v>114</v>
      </c>
      <c r="G13" s="7">
        <v>1</v>
      </c>
      <c r="H13" s="7" t="s">
        <v>45</v>
      </c>
      <c r="I13" s="7">
        <f>(3+0.2)*(2.8+0.3)*G13</f>
        <v>9.92</v>
      </c>
      <c r="J13" s="9"/>
      <c r="K13" s="9"/>
    </row>
    <row r="14" ht="249" customHeight="1" spans="1:11">
      <c r="A14" s="7">
        <v>12</v>
      </c>
      <c r="B14" s="7" t="s">
        <v>420</v>
      </c>
      <c r="C14" s="8" t="s">
        <v>317</v>
      </c>
      <c r="D14" s="7" t="s">
        <v>483</v>
      </c>
      <c r="E14" s="7"/>
      <c r="F14" s="7" t="s">
        <v>129</v>
      </c>
      <c r="G14" s="7">
        <v>7</v>
      </c>
      <c r="H14" s="7" t="s">
        <v>45</v>
      </c>
      <c r="I14" s="7">
        <f>(1+0.2)*(2.8+0.3)*G14</f>
        <v>26.04</v>
      </c>
      <c r="J14" s="9"/>
      <c r="K14" s="9"/>
    </row>
    <row r="15" ht="200.15" customHeight="1" spans="1:11">
      <c r="A15" s="7">
        <v>13</v>
      </c>
      <c r="B15" s="7" t="s">
        <v>420</v>
      </c>
      <c r="C15" s="8" t="s">
        <v>424</v>
      </c>
      <c r="D15" s="7" t="s">
        <v>483</v>
      </c>
      <c r="E15" s="7"/>
      <c r="F15" s="7" t="s">
        <v>485</v>
      </c>
      <c r="G15" s="7">
        <v>1</v>
      </c>
      <c r="H15" s="7" t="s">
        <v>45</v>
      </c>
      <c r="I15" s="7">
        <f>(3+0.2+6+0.2)*(2.8+0.3)*G15</f>
        <v>29.14</v>
      </c>
      <c r="J15" s="9"/>
      <c r="K15" s="9"/>
    </row>
    <row r="16" ht="200.15" customHeight="1" spans="1:11">
      <c r="A16" s="7">
        <v>14</v>
      </c>
      <c r="B16" s="7" t="s">
        <v>420</v>
      </c>
      <c r="C16" s="8" t="s">
        <v>486</v>
      </c>
      <c r="D16" s="7" t="s">
        <v>483</v>
      </c>
      <c r="E16" s="7"/>
      <c r="F16" s="7" t="s">
        <v>140</v>
      </c>
      <c r="G16" s="7">
        <v>1</v>
      </c>
      <c r="H16" s="7" t="s">
        <v>45</v>
      </c>
      <c r="I16" s="7">
        <f>(4+0.2)*(2.8+0.3)*G16</f>
        <v>13.02</v>
      </c>
      <c r="J16" s="9"/>
      <c r="K16" s="9"/>
    </row>
    <row r="17" ht="200.15" customHeight="1" spans="1:11">
      <c r="A17" s="7">
        <v>15</v>
      </c>
      <c r="B17" s="7" t="s">
        <v>420</v>
      </c>
      <c r="C17" s="8" t="s">
        <v>233</v>
      </c>
      <c r="D17" s="7" t="s">
        <v>483</v>
      </c>
      <c r="E17" s="7"/>
      <c r="F17" s="7" t="s">
        <v>484</v>
      </c>
      <c r="G17" s="7">
        <v>1</v>
      </c>
      <c r="H17" s="7" t="s">
        <v>45</v>
      </c>
      <c r="I17" s="7">
        <f>(1.5+0.2)*(2.8+0.3)*G17</f>
        <v>5.27</v>
      </c>
      <c r="J17" s="9"/>
      <c r="K17" s="9"/>
    </row>
    <row r="18" ht="200.15" customHeight="1" spans="1:11">
      <c r="A18" s="7">
        <v>16</v>
      </c>
      <c r="B18" s="7" t="s">
        <v>420</v>
      </c>
      <c r="C18" s="8" t="s">
        <v>487</v>
      </c>
      <c r="D18" s="7" t="s">
        <v>483</v>
      </c>
      <c r="E18" s="7"/>
      <c r="F18" s="7" t="s">
        <v>111</v>
      </c>
      <c r="G18" s="7">
        <v>1</v>
      </c>
      <c r="H18" s="7" t="s">
        <v>45</v>
      </c>
      <c r="I18" s="7">
        <f>(2.4+0.2)*(2.8+0.3)*G18</f>
        <v>8.06</v>
      </c>
      <c r="J18" s="9"/>
      <c r="K18" s="9"/>
    </row>
    <row r="19" ht="200.15" customHeight="1" spans="1:11">
      <c r="A19" s="7">
        <v>17</v>
      </c>
      <c r="B19" s="7" t="s">
        <v>420</v>
      </c>
      <c r="C19" s="8" t="s">
        <v>245</v>
      </c>
      <c r="D19" s="7" t="s">
        <v>483</v>
      </c>
      <c r="E19" s="7"/>
      <c r="F19" s="7" t="s">
        <v>192</v>
      </c>
      <c r="G19" s="7">
        <v>1</v>
      </c>
      <c r="H19" s="7" t="s">
        <v>45</v>
      </c>
      <c r="I19" s="7">
        <f>(6+0.5)*(2.8+0.3)*G19</f>
        <v>20.15</v>
      </c>
      <c r="J19" s="9"/>
      <c r="K19" s="9"/>
    </row>
    <row r="20" ht="200.15" customHeight="1" spans="1:11">
      <c r="A20" s="7">
        <v>18</v>
      </c>
      <c r="B20" s="7" t="s">
        <v>420</v>
      </c>
      <c r="C20" s="8" t="s">
        <v>433</v>
      </c>
      <c r="D20" s="7" t="s">
        <v>483</v>
      </c>
      <c r="E20" s="7"/>
      <c r="F20" s="7" t="s">
        <v>114</v>
      </c>
      <c r="G20" s="7">
        <v>1</v>
      </c>
      <c r="H20" s="7" t="s">
        <v>45</v>
      </c>
      <c r="I20" s="7">
        <f>(3+0.2)*(2.8+0.3)*G20</f>
        <v>9.92</v>
      </c>
      <c r="J20" s="9"/>
      <c r="K20" s="9"/>
    </row>
    <row r="21" ht="200.15" customHeight="1" spans="1:11">
      <c r="A21" s="7">
        <v>19</v>
      </c>
      <c r="B21" s="7" t="s">
        <v>420</v>
      </c>
      <c r="C21" s="8" t="s">
        <v>434</v>
      </c>
      <c r="D21" s="7" t="s">
        <v>483</v>
      </c>
      <c r="E21" s="7"/>
      <c r="F21" s="7" t="s">
        <v>111</v>
      </c>
      <c r="G21" s="7">
        <v>1</v>
      </c>
      <c r="H21" s="7" t="s">
        <v>45</v>
      </c>
      <c r="I21" s="7">
        <f>(2.4+0.2)*(2.8+0.3)*G21</f>
        <v>8.06</v>
      </c>
      <c r="J21" s="9"/>
      <c r="K21" s="9"/>
    </row>
    <row r="22" ht="200.15" customHeight="1" spans="1:11">
      <c r="A22" s="7">
        <v>20</v>
      </c>
      <c r="B22" s="7" t="s">
        <v>420</v>
      </c>
      <c r="C22" s="8" t="s">
        <v>435</v>
      </c>
      <c r="D22" s="7" t="s">
        <v>483</v>
      </c>
      <c r="E22" s="7"/>
      <c r="F22" s="7" t="s">
        <v>111</v>
      </c>
      <c r="G22" s="7">
        <v>1</v>
      </c>
      <c r="H22" s="7" t="s">
        <v>45</v>
      </c>
      <c r="I22" s="7">
        <f>(2.4+0.2)*(2.8+0.3)*G22</f>
        <v>8.06</v>
      </c>
      <c r="J22" s="9"/>
      <c r="K22" s="9"/>
    </row>
    <row r="23" ht="200.15" customHeight="1" spans="1:11">
      <c r="A23" s="7">
        <v>21</v>
      </c>
      <c r="B23" s="7" t="s">
        <v>420</v>
      </c>
      <c r="C23" s="8" t="s">
        <v>439</v>
      </c>
      <c r="D23" s="7" t="s">
        <v>483</v>
      </c>
      <c r="E23" s="7"/>
      <c r="F23" s="7" t="s">
        <v>239</v>
      </c>
      <c r="G23" s="7">
        <v>1</v>
      </c>
      <c r="H23" s="7" t="s">
        <v>45</v>
      </c>
      <c r="I23" s="7">
        <f>(1.8+0.2)*(2.8+0.3)*G23</f>
        <v>6.2</v>
      </c>
      <c r="J23" s="9"/>
      <c r="K23" s="9"/>
    </row>
    <row r="24" ht="200.15" customHeight="1" spans="1:11">
      <c r="A24" s="7">
        <v>22</v>
      </c>
      <c r="B24" s="7" t="s">
        <v>420</v>
      </c>
      <c r="C24" s="8" t="s">
        <v>442</v>
      </c>
      <c r="D24" s="7" t="s">
        <v>483</v>
      </c>
      <c r="E24" s="7"/>
      <c r="F24" s="7" t="s">
        <v>239</v>
      </c>
      <c r="G24" s="7">
        <v>1</v>
      </c>
      <c r="H24" s="7" t="s">
        <v>45</v>
      </c>
      <c r="I24" s="7">
        <f>(1.8+0.2)*(2.8+0.3)*G24</f>
        <v>6.2</v>
      </c>
      <c r="J24" s="9"/>
      <c r="K24" s="9"/>
    </row>
    <row r="25" ht="200.15" customHeight="1" spans="1:11">
      <c r="A25" s="7">
        <v>23</v>
      </c>
      <c r="B25" s="7" t="s">
        <v>451</v>
      </c>
      <c r="C25" s="8" t="s">
        <v>421</v>
      </c>
      <c r="D25" s="7" t="s">
        <v>483</v>
      </c>
      <c r="E25" s="7"/>
      <c r="F25" s="7" t="s">
        <v>114</v>
      </c>
      <c r="G25" s="7">
        <v>1</v>
      </c>
      <c r="H25" s="7" t="s">
        <v>45</v>
      </c>
      <c r="I25" s="7">
        <f>(3+0.2)*(2.8+0.3)*G25</f>
        <v>9.92</v>
      </c>
      <c r="J25" s="9"/>
      <c r="K25" s="9"/>
    </row>
    <row r="26" ht="288" customHeight="1" spans="1:11">
      <c r="A26" s="7">
        <v>24</v>
      </c>
      <c r="B26" s="7" t="s">
        <v>451</v>
      </c>
      <c r="C26" s="8" t="s">
        <v>421</v>
      </c>
      <c r="D26" s="7" t="s">
        <v>483</v>
      </c>
      <c r="E26" s="7"/>
      <c r="F26" s="7" t="s">
        <v>129</v>
      </c>
      <c r="G26" s="7">
        <v>6</v>
      </c>
      <c r="H26" s="7" t="s">
        <v>45</v>
      </c>
      <c r="I26" s="7">
        <f>(1+0.2)*(2.8+0.3)*G26</f>
        <v>22.32</v>
      </c>
      <c r="J26" s="9"/>
      <c r="K26" s="9"/>
    </row>
    <row r="27" ht="200.15" customHeight="1" spans="1:11">
      <c r="A27" s="7">
        <v>25</v>
      </c>
      <c r="B27" s="7" t="s">
        <v>451</v>
      </c>
      <c r="C27" s="8" t="s">
        <v>424</v>
      </c>
      <c r="D27" s="7" t="s">
        <v>483</v>
      </c>
      <c r="E27" s="7"/>
      <c r="F27" s="7" t="s">
        <v>488</v>
      </c>
      <c r="G27" s="7">
        <v>2</v>
      </c>
      <c r="H27" s="7" t="s">
        <v>45</v>
      </c>
      <c r="I27" s="7">
        <f>(1.5+0.2+3+0.2)*(2.8+0.3)*G27</f>
        <v>30.38</v>
      </c>
      <c r="J27" s="9"/>
      <c r="K27" s="9"/>
    </row>
    <row r="28" ht="200.15" customHeight="1" spans="1:11">
      <c r="A28" s="7">
        <v>26</v>
      </c>
      <c r="B28" s="7" t="s">
        <v>451</v>
      </c>
      <c r="C28" s="8" t="s">
        <v>486</v>
      </c>
      <c r="D28" s="7" t="s">
        <v>483</v>
      </c>
      <c r="E28" s="7"/>
      <c r="F28" s="7" t="s">
        <v>401</v>
      </c>
      <c r="G28" s="7">
        <v>1</v>
      </c>
      <c r="H28" s="7" t="s">
        <v>45</v>
      </c>
      <c r="I28" s="7">
        <f>(2+0.2)*(2.8+0.3)*G28</f>
        <v>6.82</v>
      </c>
      <c r="J28" s="9"/>
      <c r="K28" s="9"/>
    </row>
    <row r="29" ht="200.15" customHeight="1" spans="1:11">
      <c r="A29" s="7">
        <v>27</v>
      </c>
      <c r="B29" s="7" t="s">
        <v>451</v>
      </c>
      <c r="C29" s="8" t="s">
        <v>245</v>
      </c>
      <c r="D29" s="7" t="s">
        <v>483</v>
      </c>
      <c r="E29" s="7"/>
      <c r="F29" s="7" t="s">
        <v>192</v>
      </c>
      <c r="G29" s="7">
        <v>1</v>
      </c>
      <c r="H29" s="7" t="s">
        <v>45</v>
      </c>
      <c r="I29" s="7">
        <f>(6+0.5)*(2.8+0.3)*G29</f>
        <v>20.15</v>
      </c>
      <c r="J29" s="9"/>
      <c r="K29" s="9"/>
    </row>
    <row r="30" ht="200.15" customHeight="1" spans="1:11">
      <c r="A30" s="7">
        <v>28</v>
      </c>
      <c r="B30" s="7" t="s">
        <v>451</v>
      </c>
      <c r="C30" s="8" t="s">
        <v>433</v>
      </c>
      <c r="D30" s="7" t="s">
        <v>483</v>
      </c>
      <c r="E30" s="7"/>
      <c r="F30" s="7" t="s">
        <v>114</v>
      </c>
      <c r="G30" s="7">
        <v>1</v>
      </c>
      <c r="H30" s="7" t="s">
        <v>45</v>
      </c>
      <c r="I30" s="7">
        <f>(3+0.2)*(2.8+0.3)*G30</f>
        <v>9.92</v>
      </c>
      <c r="J30" s="9"/>
      <c r="K30" s="9"/>
    </row>
    <row r="31" ht="200.15" customHeight="1" spans="1:11">
      <c r="A31" s="7">
        <v>29</v>
      </c>
      <c r="B31" s="7" t="s">
        <v>451</v>
      </c>
      <c r="C31" s="8" t="s">
        <v>434</v>
      </c>
      <c r="D31" s="7" t="s">
        <v>483</v>
      </c>
      <c r="E31" s="7"/>
      <c r="F31" s="7" t="s">
        <v>111</v>
      </c>
      <c r="G31" s="7">
        <v>1</v>
      </c>
      <c r="H31" s="7" t="s">
        <v>45</v>
      </c>
      <c r="I31" s="7">
        <f>(2.4+0.2)*(2.8+0.3)*G31</f>
        <v>8.06</v>
      </c>
      <c r="J31" s="9"/>
      <c r="K31" s="9"/>
    </row>
    <row r="32" ht="200.15" customHeight="1" spans="1:11">
      <c r="A32" s="7">
        <v>30</v>
      </c>
      <c r="B32" s="7" t="s">
        <v>451</v>
      </c>
      <c r="C32" s="8" t="s">
        <v>435</v>
      </c>
      <c r="D32" s="7" t="s">
        <v>483</v>
      </c>
      <c r="E32" s="7"/>
      <c r="F32" s="7" t="s">
        <v>111</v>
      </c>
      <c r="G32" s="7">
        <v>1</v>
      </c>
      <c r="H32" s="7" t="s">
        <v>45</v>
      </c>
      <c r="I32" s="7">
        <f>(2.4+0.2)*(2.8+0.3)*G32</f>
        <v>8.06</v>
      </c>
      <c r="J32" s="9"/>
      <c r="K32" s="9"/>
    </row>
    <row r="33" ht="200.15" customHeight="1" spans="1:11">
      <c r="A33" s="7">
        <v>31</v>
      </c>
      <c r="B33" s="7" t="s">
        <v>451</v>
      </c>
      <c r="C33" s="8" t="s">
        <v>439</v>
      </c>
      <c r="D33" s="7" t="s">
        <v>483</v>
      </c>
      <c r="E33" s="7"/>
      <c r="F33" s="7" t="s">
        <v>111</v>
      </c>
      <c r="G33" s="7">
        <v>1</v>
      </c>
      <c r="H33" s="7" t="s">
        <v>45</v>
      </c>
      <c r="I33" s="7">
        <f>(2.4+0.2)*(2.8+0.3)*G33</f>
        <v>8.06</v>
      </c>
      <c r="J33" s="9"/>
      <c r="K33" s="9"/>
    </row>
    <row r="34" ht="200.15" customHeight="1" spans="1:11">
      <c r="A34" s="7">
        <v>32</v>
      </c>
      <c r="B34" s="7" t="s">
        <v>451</v>
      </c>
      <c r="C34" s="8" t="s">
        <v>460</v>
      </c>
      <c r="D34" s="7" t="s">
        <v>483</v>
      </c>
      <c r="E34" s="7"/>
      <c r="F34" s="7" t="s">
        <v>129</v>
      </c>
      <c r="G34" s="7">
        <v>3</v>
      </c>
      <c r="H34" s="7" t="s">
        <v>45</v>
      </c>
      <c r="I34" s="7">
        <f>(1+0.2)*(2.8+0.3)*G34</f>
        <v>11.16</v>
      </c>
      <c r="J34" s="9"/>
      <c r="K34" s="9"/>
    </row>
    <row r="35" ht="200.15" customHeight="1" spans="1:11">
      <c r="A35" s="7">
        <v>33</v>
      </c>
      <c r="B35" s="7" t="s">
        <v>451</v>
      </c>
      <c r="C35" s="8" t="s">
        <v>442</v>
      </c>
      <c r="D35" s="7" t="s">
        <v>483</v>
      </c>
      <c r="E35" s="7"/>
      <c r="F35" s="7" t="s">
        <v>239</v>
      </c>
      <c r="G35" s="7">
        <v>1</v>
      </c>
      <c r="H35" s="7" t="s">
        <v>45</v>
      </c>
      <c r="I35" s="7">
        <f>(1.8+0.2)*(2.8+0.3)*G35</f>
        <v>6.2</v>
      </c>
      <c r="J35" s="9"/>
      <c r="K35" s="9"/>
    </row>
    <row r="36" ht="200.15" customHeight="1" spans="1:11">
      <c r="A36" s="7">
        <v>34</v>
      </c>
      <c r="B36" s="7" t="s">
        <v>130</v>
      </c>
      <c r="C36" s="8" t="s">
        <v>421</v>
      </c>
      <c r="D36" s="7" t="s">
        <v>483</v>
      </c>
      <c r="E36" s="7"/>
      <c r="F36" s="7" t="s">
        <v>484</v>
      </c>
      <c r="G36" s="7">
        <v>2</v>
      </c>
      <c r="H36" s="7" t="s">
        <v>45</v>
      </c>
      <c r="I36" s="7">
        <f>(1.5+0.2)*(2.8+0.3)*G36</f>
        <v>10.54</v>
      </c>
      <c r="J36" s="9"/>
      <c r="K36" s="9"/>
    </row>
    <row r="37" ht="225" customHeight="1" spans="1:11">
      <c r="A37" s="7">
        <v>35</v>
      </c>
      <c r="B37" s="7" t="s">
        <v>130</v>
      </c>
      <c r="C37" s="8" t="s">
        <v>317</v>
      </c>
      <c r="D37" s="7" t="s">
        <v>483</v>
      </c>
      <c r="E37" s="7"/>
      <c r="F37" s="7" t="s">
        <v>129</v>
      </c>
      <c r="G37" s="7">
        <v>6</v>
      </c>
      <c r="H37" s="7" t="s">
        <v>45</v>
      </c>
      <c r="I37" s="7">
        <f>(1+0.2)*(2.8+0.3)*G37</f>
        <v>22.32</v>
      </c>
      <c r="J37" s="9"/>
      <c r="K37" s="9"/>
    </row>
    <row r="38" ht="225" customHeight="1" spans="1:11">
      <c r="A38" s="7">
        <v>36</v>
      </c>
      <c r="B38" s="7" t="s">
        <v>130</v>
      </c>
      <c r="C38" s="8" t="s">
        <v>324</v>
      </c>
      <c r="D38" s="7" t="s">
        <v>483</v>
      </c>
      <c r="E38" s="7"/>
      <c r="F38" s="7" t="s">
        <v>129</v>
      </c>
      <c r="G38" s="7">
        <v>1</v>
      </c>
      <c r="H38" s="7" t="s">
        <v>45</v>
      </c>
      <c r="I38" s="7">
        <f>(1+0.2)*(2.8+0.3)*G38</f>
        <v>3.72</v>
      </c>
      <c r="J38" s="9"/>
      <c r="K38" s="9"/>
    </row>
    <row r="39" ht="225" customHeight="1" spans="1:11">
      <c r="A39" s="7">
        <v>37</v>
      </c>
      <c r="B39" s="7" t="s">
        <v>130</v>
      </c>
      <c r="C39" s="8" t="s">
        <v>424</v>
      </c>
      <c r="D39" s="7" t="s">
        <v>483</v>
      </c>
      <c r="E39" s="7"/>
      <c r="F39" s="7" t="s">
        <v>485</v>
      </c>
      <c r="G39" s="7">
        <v>1</v>
      </c>
      <c r="H39" s="7" t="s">
        <v>45</v>
      </c>
      <c r="I39" s="7">
        <f>(3+0.2+6+0.5)*(2.8+0.3)*G39</f>
        <v>30.07</v>
      </c>
      <c r="J39" s="9"/>
      <c r="K39" s="9"/>
    </row>
    <row r="40" ht="225" customHeight="1" spans="1:11">
      <c r="A40" s="7">
        <v>38</v>
      </c>
      <c r="B40" s="7" t="s">
        <v>130</v>
      </c>
      <c r="C40" s="8" t="s">
        <v>486</v>
      </c>
      <c r="D40" s="7" t="s">
        <v>483</v>
      </c>
      <c r="E40" s="7"/>
      <c r="F40" s="7" t="s">
        <v>140</v>
      </c>
      <c r="G40" s="7">
        <v>1</v>
      </c>
      <c r="H40" s="7" t="s">
        <v>45</v>
      </c>
      <c r="I40" s="7">
        <f>(4+0.2)*(2.8+0.3)*G40</f>
        <v>13.02</v>
      </c>
      <c r="J40" s="9"/>
      <c r="K40" s="9"/>
    </row>
    <row r="41" ht="225" customHeight="1" spans="1:11">
      <c r="A41" s="7">
        <v>39</v>
      </c>
      <c r="B41" s="7" t="s">
        <v>130</v>
      </c>
      <c r="C41" s="8" t="s">
        <v>233</v>
      </c>
      <c r="D41" s="7" t="s">
        <v>483</v>
      </c>
      <c r="E41" s="7"/>
      <c r="F41" s="7" t="s">
        <v>484</v>
      </c>
      <c r="G41" s="7">
        <v>1</v>
      </c>
      <c r="H41" s="7" t="s">
        <v>45</v>
      </c>
      <c r="I41" s="7">
        <f>(1.5+0.2)*(2.8+0.3)*G41</f>
        <v>5.27</v>
      </c>
      <c r="J41" s="9"/>
      <c r="K41" s="9"/>
    </row>
    <row r="42" ht="225" customHeight="1" spans="1:11">
      <c r="A42" s="7">
        <v>40</v>
      </c>
      <c r="B42" s="7" t="s">
        <v>130</v>
      </c>
      <c r="C42" s="8" t="s">
        <v>487</v>
      </c>
      <c r="D42" s="7" t="s">
        <v>483</v>
      </c>
      <c r="E42" s="7"/>
      <c r="F42" s="7" t="s">
        <v>111</v>
      </c>
      <c r="G42" s="7">
        <v>1</v>
      </c>
      <c r="H42" s="7" t="s">
        <v>45</v>
      </c>
      <c r="I42" s="7">
        <f>(2.4+0.2)*(2.8+0.3)*G42</f>
        <v>8.06</v>
      </c>
      <c r="J42" s="9"/>
      <c r="K42" s="9"/>
    </row>
    <row r="43" ht="225" customHeight="1" spans="1:11">
      <c r="A43" s="7">
        <v>41</v>
      </c>
      <c r="B43" s="7" t="s">
        <v>130</v>
      </c>
      <c r="C43" s="8" t="s">
        <v>245</v>
      </c>
      <c r="D43" s="7" t="s">
        <v>483</v>
      </c>
      <c r="E43" s="7"/>
      <c r="F43" s="7" t="s">
        <v>192</v>
      </c>
      <c r="G43" s="7">
        <v>1</v>
      </c>
      <c r="H43" s="7" t="s">
        <v>45</v>
      </c>
      <c r="I43" s="7">
        <f>(6+0.5)*(2.8+0.3)*G43</f>
        <v>20.15</v>
      </c>
      <c r="J43" s="9"/>
      <c r="K43" s="9"/>
    </row>
    <row r="44" ht="225" customHeight="1" spans="1:11">
      <c r="A44" s="7">
        <v>42</v>
      </c>
      <c r="B44" s="7" t="s">
        <v>130</v>
      </c>
      <c r="C44" s="8" t="s">
        <v>433</v>
      </c>
      <c r="D44" s="7" t="s">
        <v>483</v>
      </c>
      <c r="E44" s="7"/>
      <c r="F44" s="7" t="s">
        <v>114</v>
      </c>
      <c r="G44" s="7">
        <v>1</v>
      </c>
      <c r="H44" s="7" t="s">
        <v>45</v>
      </c>
      <c r="I44" s="7">
        <f>(3+0.2)*(2.8+0.3)*G44</f>
        <v>9.92</v>
      </c>
      <c r="J44" s="9"/>
      <c r="K44" s="9"/>
    </row>
    <row r="45" ht="225" customHeight="1" spans="1:11">
      <c r="A45" s="7">
        <v>43</v>
      </c>
      <c r="B45" s="7" t="s">
        <v>130</v>
      </c>
      <c r="C45" s="8" t="s">
        <v>434</v>
      </c>
      <c r="D45" s="7" t="s">
        <v>483</v>
      </c>
      <c r="E45" s="7"/>
      <c r="F45" s="7" t="s">
        <v>111</v>
      </c>
      <c r="G45" s="7">
        <v>1</v>
      </c>
      <c r="H45" s="7" t="s">
        <v>45</v>
      </c>
      <c r="I45" s="7">
        <f>(2.4+0.2)*(2.8+0.3)*G45</f>
        <v>8.06</v>
      </c>
      <c r="J45" s="9"/>
      <c r="K45" s="9"/>
    </row>
    <row r="46" ht="225" customHeight="1" spans="1:11">
      <c r="A46" s="7">
        <v>44</v>
      </c>
      <c r="B46" s="7" t="s">
        <v>130</v>
      </c>
      <c r="C46" s="8" t="s">
        <v>435</v>
      </c>
      <c r="D46" s="7" t="s">
        <v>483</v>
      </c>
      <c r="E46" s="7"/>
      <c r="F46" s="7" t="s">
        <v>111</v>
      </c>
      <c r="G46" s="7">
        <v>1</v>
      </c>
      <c r="H46" s="7" t="s">
        <v>45</v>
      </c>
      <c r="I46" s="7">
        <f>(2.4+0.2)*(2.8+0.3)*G46</f>
        <v>8.06</v>
      </c>
      <c r="J46" s="9"/>
      <c r="K46" s="9"/>
    </row>
    <row r="47" ht="225" customHeight="1" spans="1:11">
      <c r="A47" s="7">
        <v>45</v>
      </c>
      <c r="B47" s="7" t="s">
        <v>130</v>
      </c>
      <c r="C47" s="8" t="s">
        <v>439</v>
      </c>
      <c r="D47" s="7" t="s">
        <v>483</v>
      </c>
      <c r="E47" s="7"/>
      <c r="F47" s="7" t="s">
        <v>239</v>
      </c>
      <c r="G47" s="7">
        <v>1</v>
      </c>
      <c r="H47" s="7" t="s">
        <v>45</v>
      </c>
      <c r="I47" s="7">
        <f>(1.8+0.2)*(2.8+0.3)*G47</f>
        <v>6.2</v>
      </c>
      <c r="J47" s="9"/>
      <c r="K47" s="9"/>
    </row>
    <row r="48" ht="225" customHeight="1" spans="1:11">
      <c r="A48" s="7">
        <v>46</v>
      </c>
      <c r="B48" s="7" t="s">
        <v>130</v>
      </c>
      <c r="C48" s="8" t="s">
        <v>442</v>
      </c>
      <c r="D48" s="7" t="s">
        <v>483</v>
      </c>
      <c r="E48" s="7"/>
      <c r="F48" s="7" t="s">
        <v>239</v>
      </c>
      <c r="G48" s="7">
        <v>1</v>
      </c>
      <c r="H48" s="7" t="s">
        <v>45</v>
      </c>
      <c r="I48" s="7">
        <f>(1.8+0.2)*(2.8+0.3)*G48</f>
        <v>6.2</v>
      </c>
      <c r="J48" s="9"/>
      <c r="K48" s="9"/>
    </row>
    <row r="49" ht="200.15" customHeight="1" spans="1:11">
      <c r="A49" s="7">
        <v>47</v>
      </c>
      <c r="B49" s="7" t="s">
        <v>130</v>
      </c>
      <c r="C49" s="8" t="s">
        <v>426</v>
      </c>
      <c r="D49" s="7" t="s">
        <v>483</v>
      </c>
      <c r="E49" s="7"/>
      <c r="F49" s="7" t="s">
        <v>484</v>
      </c>
      <c r="G49" s="7">
        <v>1</v>
      </c>
      <c r="H49" s="7" t="s">
        <v>45</v>
      </c>
      <c r="I49" s="7">
        <f>(1.5+0.2)*(2.8+0.3)*G49</f>
        <v>5.27</v>
      </c>
      <c r="J49" s="9"/>
      <c r="K49" s="9"/>
    </row>
    <row r="50" ht="200.15" customHeight="1" spans="1:11">
      <c r="A50" s="7">
        <v>48</v>
      </c>
      <c r="B50" s="7" t="s">
        <v>130</v>
      </c>
      <c r="C50" s="8" t="s">
        <v>324</v>
      </c>
      <c r="D50" s="7" t="s">
        <v>483</v>
      </c>
      <c r="E50" s="7"/>
      <c r="F50" s="7" t="s">
        <v>484</v>
      </c>
      <c r="G50" s="7">
        <v>1</v>
      </c>
      <c r="H50" s="7" t="s">
        <v>45</v>
      </c>
      <c r="I50" s="7">
        <f>(1.5+0.2)*(2.8+0.3)*G50</f>
        <v>5.27</v>
      </c>
      <c r="J50" s="9"/>
      <c r="K50" s="9"/>
    </row>
    <row r="51" ht="200.15" customHeight="1" spans="1:11">
      <c r="A51" s="7">
        <v>49</v>
      </c>
      <c r="B51" s="7" t="s">
        <v>130</v>
      </c>
      <c r="C51" s="8" t="s">
        <v>489</v>
      </c>
      <c r="D51" s="7" t="s">
        <v>483</v>
      </c>
      <c r="E51" s="7"/>
      <c r="F51" s="7" t="s">
        <v>484</v>
      </c>
      <c r="G51" s="7">
        <v>2</v>
      </c>
      <c r="H51" s="7" t="s">
        <v>45</v>
      </c>
      <c r="I51" s="7">
        <f>(1.5+0.2)*(2.8+0.3)*G51</f>
        <v>10.54</v>
      </c>
      <c r="J51" s="9"/>
      <c r="K51" s="9"/>
    </row>
    <row r="52" ht="200.15" customHeight="1" spans="1:11">
      <c r="A52" s="7">
        <v>50</v>
      </c>
      <c r="B52" s="7" t="s">
        <v>130</v>
      </c>
      <c r="C52" s="8" t="s">
        <v>317</v>
      </c>
      <c r="D52" s="7" t="s">
        <v>483</v>
      </c>
      <c r="E52" s="7"/>
      <c r="F52" s="7" t="s">
        <v>129</v>
      </c>
      <c r="G52" s="7">
        <v>6</v>
      </c>
      <c r="H52" s="7" t="s">
        <v>45</v>
      </c>
      <c r="I52" s="7">
        <f>(1+0.2)*(2.8+0.3)*G52</f>
        <v>22.32</v>
      </c>
      <c r="J52" s="9"/>
      <c r="K52" s="9"/>
    </row>
    <row r="53" ht="200.15" customHeight="1" spans="1:11">
      <c r="A53" s="7">
        <v>51</v>
      </c>
      <c r="B53" s="7" t="s">
        <v>130</v>
      </c>
      <c r="C53" s="8" t="s">
        <v>426</v>
      </c>
      <c r="D53" s="7" t="s">
        <v>483</v>
      </c>
      <c r="E53" s="7"/>
      <c r="F53" s="7" t="s">
        <v>129</v>
      </c>
      <c r="G53" s="7">
        <v>1</v>
      </c>
      <c r="H53" s="7" t="s">
        <v>45</v>
      </c>
      <c r="I53" s="7">
        <f>(1+0.2)*(2.8+0.3)*G53</f>
        <v>3.72</v>
      </c>
      <c r="J53" s="9"/>
      <c r="K53" s="9"/>
    </row>
    <row r="54" ht="200.15" customHeight="1" spans="1:11">
      <c r="A54" s="7">
        <v>52</v>
      </c>
      <c r="B54" s="7" t="s">
        <v>130</v>
      </c>
      <c r="C54" s="8" t="s">
        <v>424</v>
      </c>
      <c r="D54" s="7" t="s">
        <v>483</v>
      </c>
      <c r="E54" s="7"/>
      <c r="F54" s="7" t="s">
        <v>485</v>
      </c>
      <c r="G54" s="7">
        <v>1</v>
      </c>
      <c r="H54" s="7" t="s">
        <v>45</v>
      </c>
      <c r="I54" s="7">
        <f>(3+0.2+6+0.5)*(2.8+0.3)*G54</f>
        <v>30.07</v>
      </c>
      <c r="J54" s="9"/>
      <c r="K54" s="9"/>
    </row>
    <row r="55" ht="200.15" customHeight="1" spans="1:11">
      <c r="A55" s="7">
        <v>53</v>
      </c>
      <c r="B55" s="7" t="s">
        <v>130</v>
      </c>
      <c r="C55" s="8" t="s">
        <v>486</v>
      </c>
      <c r="D55" s="7" t="s">
        <v>483</v>
      </c>
      <c r="E55" s="7"/>
      <c r="F55" s="7" t="s">
        <v>140</v>
      </c>
      <c r="G55" s="7">
        <v>1</v>
      </c>
      <c r="H55" s="7" t="s">
        <v>45</v>
      </c>
      <c r="I55" s="7">
        <f>(4+0.4)*(2.8+0.3)*G55</f>
        <v>13.64</v>
      </c>
      <c r="J55" s="9"/>
      <c r="K55" s="9"/>
    </row>
    <row r="56" ht="200.15" customHeight="1" spans="1:11">
      <c r="A56" s="7">
        <v>54</v>
      </c>
      <c r="B56" s="7" t="s">
        <v>130</v>
      </c>
      <c r="C56" s="8" t="s">
        <v>233</v>
      </c>
      <c r="D56" s="7" t="s">
        <v>483</v>
      </c>
      <c r="E56" s="7"/>
      <c r="F56" s="7" t="s">
        <v>484</v>
      </c>
      <c r="G56" s="7">
        <v>1</v>
      </c>
      <c r="H56" s="7" t="s">
        <v>45</v>
      </c>
      <c r="I56" s="7">
        <f>(1.5+0.2)*(2.8+0.3)*G56</f>
        <v>5.27</v>
      </c>
      <c r="J56" s="9"/>
      <c r="K56" s="9"/>
    </row>
    <row r="57" ht="200.15" customHeight="1" spans="1:11">
      <c r="A57" s="7">
        <v>55</v>
      </c>
      <c r="B57" s="7" t="s">
        <v>130</v>
      </c>
      <c r="C57" s="8" t="s">
        <v>487</v>
      </c>
      <c r="D57" s="7" t="s">
        <v>483</v>
      </c>
      <c r="E57" s="7"/>
      <c r="F57" s="7" t="s">
        <v>111</v>
      </c>
      <c r="G57" s="7">
        <v>1</v>
      </c>
      <c r="H57" s="7" t="s">
        <v>45</v>
      </c>
      <c r="I57" s="7">
        <f>(2.4+0.2)*(2.8+0.3)*G57</f>
        <v>8.06</v>
      </c>
      <c r="J57" s="9"/>
      <c r="K57" s="9"/>
    </row>
    <row r="58" ht="200.15" customHeight="1" spans="1:11">
      <c r="A58" s="7">
        <v>56</v>
      </c>
      <c r="B58" s="7" t="s">
        <v>130</v>
      </c>
      <c r="C58" s="8" t="s">
        <v>245</v>
      </c>
      <c r="D58" s="7" t="s">
        <v>483</v>
      </c>
      <c r="E58" s="7"/>
      <c r="F58" s="7" t="s">
        <v>192</v>
      </c>
      <c r="G58" s="7">
        <v>1</v>
      </c>
      <c r="H58" s="7" t="s">
        <v>45</v>
      </c>
      <c r="I58" s="7">
        <f>(6+0.5)*(2.8+0.3)*G58</f>
        <v>20.15</v>
      </c>
      <c r="J58" s="9"/>
      <c r="K58" s="9"/>
    </row>
    <row r="59" ht="200.15" customHeight="1" spans="1:11">
      <c r="A59" s="7">
        <v>57</v>
      </c>
      <c r="B59" s="7" t="s">
        <v>130</v>
      </c>
      <c r="C59" s="8" t="s">
        <v>433</v>
      </c>
      <c r="D59" s="7" t="s">
        <v>483</v>
      </c>
      <c r="E59" s="7"/>
      <c r="F59" s="7" t="s">
        <v>114</v>
      </c>
      <c r="G59" s="7">
        <v>1</v>
      </c>
      <c r="H59" s="7" t="s">
        <v>45</v>
      </c>
      <c r="I59" s="7">
        <f>(3+0.2)*(2.8+0.3)*G59</f>
        <v>9.92</v>
      </c>
      <c r="J59" s="9"/>
      <c r="K59" s="9"/>
    </row>
    <row r="60" ht="200.15" customHeight="1" spans="1:11">
      <c r="A60" s="7">
        <v>58</v>
      </c>
      <c r="B60" s="7" t="s">
        <v>130</v>
      </c>
      <c r="C60" s="8" t="s">
        <v>434</v>
      </c>
      <c r="D60" s="7" t="s">
        <v>483</v>
      </c>
      <c r="E60" s="7"/>
      <c r="F60" s="7" t="s">
        <v>111</v>
      </c>
      <c r="G60" s="7">
        <v>1</v>
      </c>
      <c r="H60" s="7" t="s">
        <v>45</v>
      </c>
      <c r="I60" s="7">
        <f>(2.4+0.2)*(2.8+0.3)*G60</f>
        <v>8.06</v>
      </c>
      <c r="J60" s="9"/>
      <c r="K60" s="9"/>
    </row>
    <row r="61" ht="200.15" customHeight="1" spans="1:11">
      <c r="A61" s="7">
        <v>59</v>
      </c>
      <c r="B61" s="7" t="s">
        <v>130</v>
      </c>
      <c r="C61" s="8" t="s">
        <v>435</v>
      </c>
      <c r="D61" s="7" t="s">
        <v>483</v>
      </c>
      <c r="E61" s="7"/>
      <c r="F61" s="7" t="s">
        <v>111</v>
      </c>
      <c r="G61" s="7">
        <v>1</v>
      </c>
      <c r="H61" s="7" t="s">
        <v>45</v>
      </c>
      <c r="I61" s="7">
        <f>(2.4+0.2)*(2.8+0.3)*G61</f>
        <v>8.06</v>
      </c>
      <c r="J61" s="9"/>
      <c r="K61" s="9"/>
    </row>
    <row r="62" ht="200.15" customHeight="1" spans="1:11">
      <c r="A62" s="7">
        <v>60</v>
      </c>
      <c r="B62" s="7" t="s">
        <v>130</v>
      </c>
      <c r="C62" s="8" t="s">
        <v>439</v>
      </c>
      <c r="D62" s="7" t="s">
        <v>483</v>
      </c>
      <c r="E62" s="7"/>
      <c r="F62" s="7" t="s">
        <v>239</v>
      </c>
      <c r="G62" s="7">
        <v>1</v>
      </c>
      <c r="H62" s="7" t="s">
        <v>45</v>
      </c>
      <c r="I62" s="7">
        <f>(1.8+0.2)*(2.8+0.3)*G62</f>
        <v>6.2</v>
      </c>
      <c r="J62" s="9"/>
      <c r="K62" s="9"/>
    </row>
    <row r="63" ht="200.15" customHeight="1" spans="1:11">
      <c r="A63" s="7">
        <v>61</v>
      </c>
      <c r="B63" s="7" t="s">
        <v>130</v>
      </c>
      <c r="C63" s="8" t="s">
        <v>442</v>
      </c>
      <c r="D63" s="7" t="s">
        <v>483</v>
      </c>
      <c r="E63" s="7"/>
      <c r="F63" s="7" t="s">
        <v>239</v>
      </c>
      <c r="G63" s="7">
        <v>1</v>
      </c>
      <c r="H63" s="7" t="s">
        <v>45</v>
      </c>
      <c r="I63" s="7">
        <f>(1.8+0.2)*(2.8+0.3)*G63</f>
        <v>6.2</v>
      </c>
      <c r="J63" s="9"/>
      <c r="K63" s="9"/>
    </row>
    <row r="64" ht="120" customHeight="1" spans="1:11">
      <c r="A64" s="7" t="s">
        <v>33</v>
      </c>
      <c r="B64" s="7"/>
      <c r="C64" s="7"/>
      <c r="D64" s="7"/>
      <c r="E64" s="7"/>
      <c r="F64" s="7"/>
      <c r="G64" s="7">
        <f>SUM(G3:G63)</f>
        <v>87</v>
      </c>
      <c r="H64" s="7"/>
      <c r="I64" s="10">
        <f>SUM(I3:I63)</f>
        <v>666.5</v>
      </c>
      <c r="J64" s="8"/>
      <c r="K64" s="9"/>
    </row>
  </sheetData>
  <mergeCells count="2">
    <mergeCell ref="A1:K1"/>
    <mergeCell ref="A64:F64"/>
  </mergeCells>
  <printOptions horizontalCentered="1"/>
  <pageMargins left="0.393055555555556" right="0.393055555555556" top="0.393055555555556" bottom="0.393055555555556" header="0.393055555555556" footer="0.393055555555556"/>
  <pageSetup paperSize="9" scale="24" fitToHeight="0" orientation="portrait"/>
  <headerFooter/>
  <rowBreaks count="3" manualBreakCount="3">
    <brk id="6" max="16383" man="1"/>
    <brk id="6" max="10" man="1"/>
    <brk id="6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采购部分汇总</vt:lpstr>
      <vt:lpstr>采购部分医用隔帘</vt:lpstr>
      <vt:lpstr>采购部分拉帘</vt:lpstr>
      <vt:lpstr>采购部分纱帘</vt:lpstr>
      <vt:lpstr>采购部分遮光卷帘</vt:lpstr>
      <vt:lpstr>采购部分百叶帘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fang</dc:creator>
  <cp:lastModifiedBy>A.Mr.余</cp:lastModifiedBy>
  <cp:revision>1</cp:revision>
  <dcterms:created xsi:type="dcterms:W3CDTF">2016-12-16T19:18:00Z</dcterms:created>
  <cp:lastPrinted>2017-03-11T08:25:00Z</cp:lastPrinted>
  <dcterms:modified xsi:type="dcterms:W3CDTF">2026-07-22T09:25:04Z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9D82FF27A1414B7B92164FE3D37C5EB0_13</vt:lpwstr>
  </property>
  <property fmtid="{D5CDD505-2E9C-101B-9397-08002B2CF9AE}" pid="4" name="CalculationRule">
    <vt:i4>0</vt:i4>
  </property>
</Properties>
</file>